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9108" windowWidth="9132" windowHeight="2340" tabRatio="601" activeTab="0"/>
  </bookViews>
  <sheets>
    <sheet name="orçamento" sheetId="1" r:id="rId1"/>
    <sheet name="Cronograma" sheetId="2" r:id="rId2"/>
    <sheet name="Memorial cálculo" sheetId="3" r:id="rId3"/>
  </sheets>
  <externalReferences>
    <externalReference r:id="rId6"/>
  </externalReferences>
  <definedNames>
    <definedName name="_xlnm.Print_Area" localSheetId="1">'Cronograma'!$A$1:$L$59</definedName>
    <definedName name="_xlnm.Print_Area" localSheetId="0">'orçamento'!$A$1:$K$140</definedName>
    <definedName name="_xlnm.Print_Titles" localSheetId="1">'Cronograma'!$1:$1</definedName>
    <definedName name="_xlnm.Print_Titles" localSheetId="0">'orçamento'!$1:$1</definedName>
  </definedNames>
  <calcPr fullCalcOnLoad="1"/>
</workbook>
</file>

<file path=xl/sharedStrings.xml><?xml version="1.0" encoding="utf-8"?>
<sst xmlns="http://schemas.openxmlformats.org/spreadsheetml/2006/main" count="506" uniqueCount="310">
  <si>
    <t>OBRA:</t>
  </si>
  <si>
    <t>LOCAL:</t>
  </si>
  <si>
    <t>ITEM</t>
  </si>
  <si>
    <t>DISCRIMINAÇÃO</t>
  </si>
  <si>
    <t>Unid.</t>
  </si>
  <si>
    <t>Quant.</t>
  </si>
  <si>
    <t>1.1</t>
  </si>
  <si>
    <t>1.2</t>
  </si>
  <si>
    <t>1.3</t>
  </si>
  <si>
    <t>m²</t>
  </si>
  <si>
    <t>Subtotal</t>
  </si>
  <si>
    <t>m³</t>
  </si>
  <si>
    <t>3</t>
  </si>
  <si>
    <t>4</t>
  </si>
  <si>
    <t>m</t>
  </si>
  <si>
    <t>7</t>
  </si>
  <si>
    <t>7.1</t>
  </si>
  <si>
    <t>10</t>
  </si>
  <si>
    <t>Pintura</t>
  </si>
  <si>
    <t>12</t>
  </si>
  <si>
    <t>13</t>
  </si>
  <si>
    <t>Serviços Finais</t>
  </si>
  <si>
    <t>Encargos Sociais</t>
  </si>
  <si>
    <t>Instalações Elétricas</t>
  </si>
  <si>
    <t>5</t>
  </si>
  <si>
    <t>Pr. Total R$</t>
  </si>
  <si>
    <t>Pr. Unit. Material R$</t>
  </si>
  <si>
    <t>Pr. Unit. Mão-de-Obra R$</t>
  </si>
  <si>
    <t xml:space="preserve">Revestimentos </t>
  </si>
  <si>
    <t>Infraestrutura (Fundações)/Impermeabilizações</t>
  </si>
  <si>
    <t xml:space="preserve">B.D.I. </t>
  </si>
  <si>
    <t>Nos serviços estão inclusos:</t>
  </si>
  <si>
    <t>6</t>
  </si>
  <si>
    <t>13.1</t>
  </si>
  <si>
    <t>Cobertura/ Forros</t>
  </si>
  <si>
    <t>8</t>
  </si>
  <si>
    <t>8.1</t>
  </si>
  <si>
    <t>8.3</t>
  </si>
  <si>
    <t>9</t>
  </si>
  <si>
    <t>10.2</t>
  </si>
  <si>
    <t>MUNICÍPIO DE   SANTA   ROSA</t>
  </si>
  <si>
    <t>unid</t>
  </si>
  <si>
    <t>Alvenarias</t>
  </si>
  <si>
    <t>Pr. Total. Material R$</t>
  </si>
  <si>
    <t>4.2</t>
  </si>
  <si>
    <t>6.1</t>
  </si>
  <si>
    <t>PPCI</t>
  </si>
  <si>
    <t>SINAPI</t>
  </si>
  <si>
    <t>PLACA DE OBRA EM CHAPA DE ACO GALVANIZADO</t>
  </si>
  <si>
    <t>FUNDO SELADOR ACRILICO AMBIENTES INTERNOS/EXTERNOS, UMA DEMAO</t>
  </si>
  <si>
    <t>PINTURA LATEX ACRILICA AMBIENTES INTERNOS/EXTERNOS, DUAS DEMAOS</t>
  </si>
  <si>
    <t>Chapisco ci-ar 1:4, 5mm preparo e aplicação</t>
  </si>
  <si>
    <t>Pavimentação interna</t>
  </si>
  <si>
    <t>73481</t>
  </si>
  <si>
    <t>3.2</t>
  </si>
  <si>
    <t>4.1</t>
  </si>
  <si>
    <t>PROPRIETÁRIO: MUNICÍPIO DE SANTA ROSA</t>
  </si>
  <si>
    <t xml:space="preserve">ÍTEM </t>
  </si>
  <si>
    <t>UNID.</t>
  </si>
  <si>
    <t>1º MÊS</t>
  </si>
  <si>
    <t>2º MÊS</t>
  </si>
  <si>
    <t>TOTAL</t>
  </si>
  <si>
    <t>FÍSICO</t>
  </si>
  <si>
    <t>FINANCEIRO</t>
  </si>
  <si>
    <t>R$</t>
  </si>
  <si>
    <t>Infraestrutura/impermeabilizações</t>
  </si>
  <si>
    <t>Cobertura/forros</t>
  </si>
  <si>
    <t>Esquadrias/ferragens/vidros</t>
  </si>
  <si>
    <t>Instalações elétricas</t>
  </si>
  <si>
    <t>PREÇOS MÁXIMOS ACEITÁVEIS, GLOBAL E UNITÁRIO, PARA A EXECUÇÃO DOS SERVIÇOS LISTADOS;</t>
  </si>
  <si>
    <t>R$ Sinapi</t>
  </si>
  <si>
    <t>Supraestrutura</t>
  </si>
  <si>
    <t>9.2</t>
  </si>
  <si>
    <t>6519</t>
  </si>
  <si>
    <t>2.1</t>
  </si>
  <si>
    <t>2.2</t>
  </si>
  <si>
    <t>10.3</t>
  </si>
  <si>
    <t>3º MÊS</t>
  </si>
  <si>
    <t>3.1</t>
  </si>
  <si>
    <t>14</t>
  </si>
  <si>
    <t>14.1</t>
  </si>
  <si>
    <t>74164/4</t>
  </si>
  <si>
    <t>74233/1</t>
  </si>
  <si>
    <t>73954/2</t>
  </si>
  <si>
    <t>2</t>
  </si>
  <si>
    <t>73361</t>
  </si>
  <si>
    <t>3.3</t>
  </si>
  <si>
    <t>Impermeab. Pintura argamassa polimérica 4 demãos - Cintas fundação nas faces superiores e 10 cm nas faces laterais</t>
  </si>
  <si>
    <t>ALVENARIA EM TIJOLO CERAMICO FURADO 10X20X20CM, 1 VEZ, ASSENTADO EM ARGAMASSA TRACO 1:2:8 (CIMENTO, CAL E AREIA), JUNTAS 12MM -20cm</t>
  </si>
  <si>
    <t>PINTURA ESMALTE 2 DEMAOS C/1 DEMAO ZARCAO P/ESQUADRIA FERRO/MADEIRA</t>
  </si>
  <si>
    <t>Serviços Iniciais e Movimento de Terra</t>
  </si>
  <si>
    <t>Instalação da Obra</t>
  </si>
  <si>
    <t>Esquadrias, ferragens, vidros, pingadeira</t>
  </si>
  <si>
    <t>LOCACAO CONVENCIONAL DE OBRA, ATRAVÉS DE GABARITO DE TABUAS CORRIDAS PONTALETADAS, SEM REAPROVEITAMENTO</t>
  </si>
  <si>
    <t>74209/1</t>
  </si>
  <si>
    <t>74077/1</t>
  </si>
  <si>
    <t>73964/4</t>
  </si>
  <si>
    <t>PILAR CONCRETO ARMADO, FCK = 20 MPA E 77KG/M3 DE AÇO, PREPARO COM BETONEIRA INCLUI LANCAMENTO.</t>
  </si>
  <si>
    <t>73987/1</t>
  </si>
  <si>
    <t>4º MÊS</t>
  </si>
  <si>
    <t>TOTAL GERAL</t>
  </si>
  <si>
    <t>Bloco autônomo de 16w mais rede de alimentação das luminárias</t>
  </si>
  <si>
    <t>Placas fotoluminescentes "direção do fluxo da rota de fuga", padrão NBR-10898</t>
  </si>
  <si>
    <t>Placas fotoluminescentes"saida final da rota de fuga" padrão da NBR-10898</t>
  </si>
  <si>
    <t>Placas "Proibido Fumar" padrão da NBR-10898</t>
  </si>
  <si>
    <t>13.2</t>
  </si>
  <si>
    <t>13.3</t>
  </si>
  <si>
    <t>13.4</t>
  </si>
  <si>
    <t>subtotal</t>
  </si>
  <si>
    <t>8.2</t>
  </si>
  <si>
    <t>10.6</t>
  </si>
  <si>
    <t>10.11</t>
  </si>
  <si>
    <t>9.1</t>
  </si>
  <si>
    <t>10.12</t>
  </si>
  <si>
    <t>I</t>
  </si>
  <si>
    <t>2.3</t>
  </si>
  <si>
    <t>2.4</t>
  </si>
  <si>
    <t>Vidro liso, transparente, 4mm</t>
  </si>
  <si>
    <t>3.4</t>
  </si>
  <si>
    <t>6.3</t>
  </si>
  <si>
    <t>Tubo PVC 20 e 25 mm  rede  c/ conexões</t>
  </si>
  <si>
    <t>Placa de sinalização de extintores</t>
  </si>
  <si>
    <t>INSTALAÇÃO DA OBRA</t>
  </si>
  <si>
    <t>II</t>
  </si>
  <si>
    <t>SUBTOTAL ITEM II</t>
  </si>
  <si>
    <t>III</t>
  </si>
  <si>
    <t>73995/1</t>
  </si>
  <si>
    <t>Cobertura telha fibrocimento 6mm, com acessórios de fixação c/ cumeeira</t>
  </si>
  <si>
    <t>75030/1</t>
  </si>
  <si>
    <t>REGISTRO GAVETA 1/2" BRUTO LATAO - FORNECIMENTO E INSTALACAO</t>
  </si>
  <si>
    <t>72711</t>
  </si>
  <si>
    <t>74065/3</t>
  </si>
  <si>
    <t>PINTURA ESMALTE SOBRE MADEIRA 2 DEMÃOS</t>
  </si>
  <si>
    <t>6.4</t>
  </si>
  <si>
    <t>14.2</t>
  </si>
  <si>
    <t>14.3</t>
  </si>
  <si>
    <t>14.4</t>
  </si>
  <si>
    <t>14.5</t>
  </si>
  <si>
    <t>14.6</t>
  </si>
  <si>
    <t>REATERRO APILOADO EM CAMADAS 0,20M C/ MATERIAL ARGILO-ARENOSO, c/ aproveitamento - só mão-de-obra</t>
  </si>
  <si>
    <t>PPCI ( ampliação e reforma)</t>
  </si>
  <si>
    <t>mercado SR</t>
  </si>
  <si>
    <t>72117</t>
  </si>
  <si>
    <t>5º MÊS</t>
  </si>
  <si>
    <t>6º MÊS</t>
  </si>
  <si>
    <t>7º MÊS</t>
  </si>
  <si>
    <t>Instalação hidrossanitária</t>
  </si>
  <si>
    <t>ALVENARIA EM TIJOLO CERAMICO MACICO 5X10X20CM 1VEZ (20CM), ASSENTADO C/ ARGAMASSA TRACO 1:2:8 (CIMENTO, CAL E AREIA), E=1CM</t>
  </si>
  <si>
    <t>6501</t>
  </si>
  <si>
    <t>74088/1</t>
  </si>
  <si>
    <t xml:space="preserve">LASTRO DE BRITA 25MM, ESPESSURA 5CM, </t>
  </si>
  <si>
    <t>5995</t>
  </si>
  <si>
    <t>ESCAVACAO MANUAL DE VALA EM MATERIAL DE 1A CATEGORIA ATE 1,0M, (60x40)cm</t>
  </si>
  <si>
    <t>CONCRETO CICLOPICO C/CONC DOS RAC 10 MPA 30% PED DE MAO INCL TRANSPORTE HORIZONTAL C/ CARRINHOS ATÉ 20M, 60X40CM</t>
  </si>
  <si>
    <t>CINTAS EM CONCRETO ARMADO FCK 20 Mpa - COMPLETAS (15X25)cm</t>
  </si>
  <si>
    <t>Pavimentação</t>
  </si>
  <si>
    <t>Emboço traço 1:2:8 (cimento, cal e areia), espessura 1,5cm</t>
  </si>
  <si>
    <t>Reboco traço 1:4,5 (cal e areia fina peneirada), espessura 0,5cm</t>
  </si>
  <si>
    <t>73927/3</t>
  </si>
  <si>
    <t>Escavação manual/reaterro rede =155m (30x30)</t>
  </si>
  <si>
    <t>Escavação manual/reaterro rede =26m (30x30)</t>
  </si>
  <si>
    <t>Ponto de agua fria pvc 1/2" - media 5,00m de tubo de pvc roscavel agua fria 1/2" e 2 joelhos de pvc roscavel 90graus agua fria 1/2" - fornecimento e instalacao</t>
  </si>
  <si>
    <t>ATERRO MECANIZADO COMPACTADO EM CAMADAS DE 20 CM COM MATERIAL DE EMPRÉSTIMO.</t>
  </si>
  <si>
    <t>79484</t>
  </si>
  <si>
    <t>Cinta de concreto armado fck 20Mpa - completa, baldrame, (20x30)cm</t>
  </si>
  <si>
    <t>CRONOGRAMA FÍSICO-FINANCEIRO</t>
  </si>
  <si>
    <t>PRAZO DE EXECUÇÃO DA OBRA 210 DIAS CORRIDOS</t>
  </si>
  <si>
    <t>74220/1</t>
  </si>
  <si>
    <t xml:space="preserve"> TAPUME DE CHAPA DE MADEIRA COMPENSADA (6MM) - PINTURA A CAL- APROVEITAMENTO 2 X</t>
  </si>
  <si>
    <t>72136</t>
  </si>
  <si>
    <t>PISO INDUSTRIAL ALTA RESISTENCIA ESPESSURA 8MM, INCLUSO JUNTAS DE DILATACAO PLASTICAS E POLIMENTO MECANIZADO</t>
  </si>
  <si>
    <t>6103</t>
  </si>
  <si>
    <t>JANELA BASCULANTE DE FERRO EM CANTONEIRA 5/8"X1/8", LINHA POPULAR</t>
  </si>
  <si>
    <t>ESPAÇO MULTIUSO</t>
  </si>
  <si>
    <t>SUBTOTAL ITEM III</t>
  </si>
  <si>
    <t>IV</t>
  </si>
  <si>
    <t>Academia aberta</t>
  </si>
  <si>
    <t>Equipamentos das Academia</t>
  </si>
  <si>
    <t xml:space="preserve">Prancha de abdominal construida em concreto e alvenaira  com revestimento em madeira e apoio para os pés em tubo metalico </t>
  </si>
  <si>
    <t>und</t>
  </si>
  <si>
    <t>Barras Verticais de estrutura tubular 4 alturas</t>
  </si>
  <si>
    <t xml:space="preserve">Barras de Flexão Horizontal em estrutura tubular </t>
  </si>
  <si>
    <t>Balanço Lateral Duplo</t>
  </si>
  <si>
    <t>Leg press Duplo</t>
  </si>
  <si>
    <t>Barras Fixas com espaldar em estrutura tubular</t>
  </si>
  <si>
    <t xml:space="preserve">Simulador de Cavalgada </t>
  </si>
  <si>
    <t>Simulador de Caminhada Triplo</t>
  </si>
  <si>
    <t>SUBTOTAL ITEM IV</t>
  </si>
  <si>
    <t>74130/3</t>
  </si>
  <si>
    <t>DISJUNTOR TERMOMAGNETICO TRIPOLAR PADRAO NEMA (AMERICANO) 10 A 50A 240V, FORNECIMENTO E INSTALACAO</t>
  </si>
  <si>
    <t>pç</t>
  </si>
  <si>
    <t>74130/1</t>
  </si>
  <si>
    <t>DISJUNTOR TERMOMAGNETICO MONOPOLAR PADRAO NEMA (AMERICANO) 10 A 32A 240V, FORNECIMENTO E INSTALACAO</t>
  </si>
  <si>
    <t>ELETRODUTO PVC FLEXIVEL CORRUGADO 32MM TIPO TIGREFLEX OU EQUIV</t>
  </si>
  <si>
    <t>Mercado</t>
  </si>
  <si>
    <t>CABO DE COBRE ISOLAMENTO ANTI-CHAMA 0,6/1KV 4MM2 (1 CONDUTOR) TP SINTENAX PIRELLI OU EQUIV</t>
  </si>
  <si>
    <t>CAIXA DE PASSAGEM EM ALVENARIA COM TAMPA 50X50X60CM</t>
  </si>
  <si>
    <t>FITA ISOLANTE ADESIVA ANTI-CHAMA, USO ATÉ 750 V, EM ROLO DE 19 MM X 20 M</t>
  </si>
  <si>
    <t>QUADRO DE DISTRIBUICAO DE EMBUTIR SEM BARRAMENTO, P/12 DISJUNTORES UNIPOLARES, S/ PORTA EM CHAPA DE AÇO GALV</t>
  </si>
  <si>
    <t>HASTE DE ATERRAMENTO, DN 5/8 " X 3000MM, EM AÇO REVESTIDO COM UMA CAMADA DE COBRE ELETROLÍTICO - COM CONECTOR TIPO GRAMPO</t>
  </si>
  <si>
    <t>LIMPEZA FINAL DA OBRA</t>
  </si>
  <si>
    <t>V</t>
  </si>
  <si>
    <t>Rede Elétrica</t>
  </si>
  <si>
    <t>ENTRADA DE ENERGIA ELÉTRICA AÉREA MONOFÁSICA 50A COM POSTE DE CONCRETO, INCLUSIVE CABEAMENTO, CAIXA DE PROTEÇÃO PARA MEDIDOR E ATERRAMENTO.</t>
  </si>
  <si>
    <t>Instalações Elétricas Externas</t>
  </si>
  <si>
    <t>INTERRUPTOR SIMPLES COM 1 TOMADA UNIVERSAL CONJUGADOS</t>
  </si>
  <si>
    <t>73953/6</t>
  </si>
  <si>
    <t>LUMINARIA TIPO CALHA, DE SOBREPOR, COM REATOR DE PARTIDA RAPIDA E LAMPADA FLUORESCENTE 2X40W, COMPLETA, FORNECIMENTO E INSTALACAO</t>
  </si>
  <si>
    <t>SUBTOTAL ITEM V</t>
  </si>
  <si>
    <t>5.1</t>
  </si>
  <si>
    <t>9.6</t>
  </si>
  <si>
    <t>9.7</t>
  </si>
  <si>
    <t>12.1</t>
  </si>
  <si>
    <t>12.2</t>
  </si>
  <si>
    <t>12.3</t>
  </si>
  <si>
    <t>12.4</t>
  </si>
  <si>
    <t>12.5</t>
  </si>
  <si>
    <t>12.6</t>
  </si>
  <si>
    <t>12.8</t>
  </si>
  <si>
    <t>12.11</t>
  </si>
  <si>
    <t>15</t>
  </si>
  <si>
    <t>15.1</t>
  </si>
  <si>
    <t>16</t>
  </si>
  <si>
    <t>16.1</t>
  </si>
  <si>
    <t>16.2</t>
  </si>
  <si>
    <t>17</t>
  </si>
  <si>
    <t>17.1</t>
  </si>
  <si>
    <t>18</t>
  </si>
  <si>
    <t>18.1</t>
  </si>
  <si>
    <t>18.2</t>
  </si>
  <si>
    <t>19</t>
  </si>
  <si>
    <t>19.1</t>
  </si>
  <si>
    <t>19.2</t>
  </si>
  <si>
    <t>19.3</t>
  </si>
  <si>
    <t>19.4</t>
  </si>
  <si>
    <t>19.5</t>
  </si>
  <si>
    <t>19.6</t>
  </si>
  <si>
    <t>19.7</t>
  </si>
  <si>
    <t>19.8</t>
  </si>
  <si>
    <t>20.3</t>
  </si>
  <si>
    <t>20.7</t>
  </si>
  <si>
    <t>20.11</t>
  </si>
  <si>
    <t>21</t>
  </si>
  <si>
    <t>21.1</t>
  </si>
  <si>
    <t>EDIFICIO DE APOIO</t>
  </si>
  <si>
    <t>Instalações Hidrossanitárias</t>
  </si>
  <si>
    <t>ACADEMIA ABERTA</t>
  </si>
  <si>
    <t>REDE ELÉTRICA</t>
  </si>
  <si>
    <t>PEITORIL CONCRETO PRÉ-FABRICADA 22 cm de largura, espessura 2cm</t>
  </si>
  <si>
    <t>mercado</t>
  </si>
  <si>
    <t>73805/1</t>
  </si>
  <si>
    <t>BARRACAO DE OBRA PARA ALOJAMENTO/ESCRITORIO, PISO EM PINHO 3A, PAREDES EM COMPENSADO 10MM, COBERTURA EM TELHA AMIANTO 6MM, INCLUSO INSTALACOES ELETRICAS E ESQUADRIAS</t>
  </si>
  <si>
    <t>DEPÓSITO DE ÁREA DE VIVÊNCIA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</si>
  <si>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</si>
  <si>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FORRO DE PVC, EM LAMINAS DE 600X10CM E ESPESSURA DE 8MM, LISO - INCLUSIVE COLOCACAO, EXCLUSIVE ESTRUTURA DE SUPORTE</t>
  </si>
  <si>
    <t>PRAZO DE EXECUÇÃO:210 dias corridos</t>
  </si>
  <si>
    <t>ORÇAMENTO DISCRIMINADO Nº 39/2014</t>
  </si>
  <si>
    <t>CONSTRUÇAÕ DA ACADEMIA DA SAÚDE VILA JÚLIO DE OLIVEIRA</t>
  </si>
  <si>
    <r>
      <t>Data</t>
    </r>
    <r>
      <rPr>
        <sz val="10"/>
        <rFont val="Arial"/>
        <family val="0"/>
      </rPr>
      <t>: Junho. 2014</t>
    </r>
  </si>
  <si>
    <r>
      <t>Área total(m²)</t>
    </r>
    <r>
      <rPr>
        <sz val="10"/>
        <rFont val="Arial"/>
        <family val="2"/>
      </rPr>
      <t>: 324,00</t>
    </r>
  </si>
  <si>
    <r>
      <t>Sinapi ref.</t>
    </r>
    <r>
      <rPr>
        <sz val="10"/>
        <rFont val="Arial"/>
        <family val="2"/>
      </rPr>
      <t>: Março/2014</t>
    </r>
  </si>
  <si>
    <t>20.1</t>
  </si>
  <si>
    <t>ELETRODUTO PVC FLEXIVEL CORRUGADO 40MM TIPO TIGREFLEX OU EQUIV</t>
  </si>
  <si>
    <t>20.2</t>
  </si>
  <si>
    <t>20.4</t>
  </si>
  <si>
    <t>74246/1</t>
  </si>
  <si>
    <t>REFLETOR RETANGULAR FECHADO COM LAMPADA VAPOR METALICO 400 W</t>
  </si>
  <si>
    <t>20.5</t>
  </si>
  <si>
    <t>RELE FOTOELÉTRICO 1000w/750w</t>
  </si>
  <si>
    <t>20.6</t>
  </si>
  <si>
    <t>20.8</t>
  </si>
  <si>
    <t>DEMAPE REATOR VAP.SODIO/METAL.EXT.400W</t>
  </si>
  <si>
    <t>20.9</t>
  </si>
  <si>
    <t>FITA ACO INOX P/ CINTAR POSTE FUSIMEC/ERICSSON/ERIBAND OU SIM 0,8 X 19 MM (ROLO DE 30 M</t>
  </si>
  <si>
    <t>20.10</t>
  </si>
  <si>
    <t>SELO PARA CINTA DE ACO NP 121657</t>
  </si>
  <si>
    <t>Guarda corpo</t>
  </si>
  <si>
    <t xml:space="preserve">memorial de cálculos </t>
  </si>
  <si>
    <t>tapume</t>
  </si>
  <si>
    <t>14,50+26,00+4,55</t>
  </si>
  <si>
    <t>=</t>
  </si>
  <si>
    <t xml:space="preserve"> 45,05m</t>
  </si>
  <si>
    <t>comprimento</t>
  </si>
  <si>
    <t>altura</t>
  </si>
  <si>
    <t>99,11m²</t>
  </si>
  <si>
    <t>5968</t>
  </si>
  <si>
    <t>I 11587</t>
  </si>
  <si>
    <t>5974</t>
  </si>
  <si>
    <t>Guarda-corpo</t>
  </si>
  <si>
    <t>73631</t>
  </si>
  <si>
    <t>74131/4</t>
  </si>
  <si>
    <t>I 20111</t>
  </si>
  <si>
    <t>I 2510</t>
  </si>
  <si>
    <t>I 3380</t>
  </si>
  <si>
    <t>I 406</t>
  </si>
  <si>
    <t>73933/1</t>
  </si>
  <si>
    <t>PORTA DE FERRO, DE ABRIR, TIPO GRADE COM CHAPA, 87X210CM, COM GUARNICOES</t>
  </si>
  <si>
    <t>OBRA: CONSTRUÇAÕ DA ACADEMIA DA SAÚDE VILA JÚLIO DE OLIVEIRA</t>
  </si>
  <si>
    <t>Data: Junho/2014</t>
  </si>
  <si>
    <t>Local:Praça, Q N°70, Av. Firmino de Paula, Vila Júlio de Oliveira, Santa Rosa.</t>
  </si>
  <si>
    <t xml:space="preserve">Praça, Q N°70, Av. Firmino de Paula, Vila Júlio de Oliveira, Santa Rosa, RS.  </t>
  </si>
  <si>
    <t>19.9</t>
  </si>
  <si>
    <t>19.10</t>
  </si>
  <si>
    <t>CONJUNTO P/VOLEI(POSTES FOGO H=255 REDE NYLON 2 MM</t>
  </si>
  <si>
    <t>cj</t>
  </si>
  <si>
    <t>CONJUNTO PARA FUTSAL ( PAR DE TRAVES OFICIAL - 3,00X2,00M - EM TUBO DE AÇO GALV A FOGO 3" COM REQUADRO E REDES POLIETILENO FIO 4MM).</t>
  </si>
  <si>
    <t>CABO FLEXÍVEL PVC 750 V, 3 CONDUTORES DE 4,0 MM²</t>
  </si>
  <si>
    <t>POSTE DE CONCRETO DUPLO T H=11M E CARGA NOMINAL 200KG INCLUSIVE ESCAVACAO, EXCLUSIVE TRANSPORTE - FORNECIMENTO E INSTALACAO</t>
  </si>
  <si>
    <t>EXTINTOR DE INCENDIO C/ CARGA DE PO QUIMICO SECO PQS 4KG</t>
  </si>
  <si>
    <t>9.8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</si>
</sst>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#,##0\ &quot;$&quot;_);\(#,##0\ &quot;$&quot;\)"/>
    <numFmt numFmtId="191" formatCode="#,##0\ &quot;$&quot;_);[Red]\(#,##0\ &quot;$&quot;\)"/>
    <numFmt numFmtId="192" formatCode="#,##0.00\ &quot;$&quot;_);\(#,##0.00\ &quot;$&quot;\)"/>
    <numFmt numFmtId="193" formatCode="#,##0.00\ &quot;$&quot;_);[Red]\(#,##0.00\ &quot;$&quot;\)"/>
    <numFmt numFmtId="194" formatCode="_ * #,##0_)\ &quot;$&quot;_ ;_ * \(#,##0\)\ &quot;$&quot;_ ;_ * &quot;-&quot;_)\ &quot;$&quot;_ ;_ @_ "/>
    <numFmt numFmtId="195" formatCode="_ * #,##0_)\ _$_ ;_ * \(#,##0\)\ _$_ ;_ * &quot;-&quot;_)\ _$_ ;_ @_ "/>
    <numFmt numFmtId="196" formatCode="_ * #,##0.00_)\ &quot;$&quot;_ ;_ * \(#,##0.00\)\ &quot;$&quot;_ ;_ * &quot;-&quot;??_)\ &quot;$&quot;_ ;_ @_ "/>
    <numFmt numFmtId="197" formatCode="_ * #,##0.00_)\ _$_ ;_ * \(#,##0.00\)\ _$_ ;_ * &quot;-&quot;??_)\ _$_ ;_ @_ "/>
    <numFmt numFmtId="198" formatCode="0.00000"/>
    <numFmt numFmtId="199" formatCode="0.0000"/>
    <numFmt numFmtId="200" formatCode="0.000"/>
    <numFmt numFmtId="201" formatCode="0.0"/>
    <numFmt numFmtId="202" formatCode="&quot;R$&quot;\ #,##0.00"/>
    <numFmt numFmtId="203" formatCode="0.0%"/>
    <numFmt numFmtId="204" formatCode="&quot;R$&quot;#,##0;&quot;R$&quot;\-#,##0"/>
    <numFmt numFmtId="205" formatCode="&quot;R$&quot;#,##0;[Red]&quot;R$&quot;\-#,##0"/>
    <numFmt numFmtId="206" formatCode="&quot;R$&quot;#,##0.00;&quot;R$&quot;\-#,##0.00"/>
    <numFmt numFmtId="207" formatCode="&quot;R$&quot;#,##0.00;[Red]&quot;R$&quot;\-#,##0.00"/>
    <numFmt numFmtId="208" formatCode="_ &quot;R$&quot;* #,##0_ ;_ &quot;R$&quot;* \-#,##0_ ;_ &quot;R$&quot;* &quot;-&quot;_ ;_ @_ "/>
    <numFmt numFmtId="209" formatCode="_ * #,##0_ ;_ * \-#,##0_ ;_ * &quot;-&quot;_ ;_ @_ "/>
    <numFmt numFmtId="210" formatCode="_ &quot;R$&quot;* #,##0.00_ ;_ &quot;R$&quot;* \-#,##0.00_ ;_ &quot;R$&quot;* &quot;-&quot;??_ ;_ @_ "/>
    <numFmt numFmtId="211" formatCode="_ * #,##0.00_ ;_ * \-#,##0.00_ ;_ * &quot;-&quot;??_ ;_ @_ "/>
    <numFmt numFmtId="212" formatCode="_ * #,##0.000_ ;_ * \-#,##0.000_ ;_ * &quot;-&quot;??_ ;_ @_ "/>
    <numFmt numFmtId="213" formatCode="&quot;Sim&quot;;&quot;Sim&quot;;&quot;Não&quot;"/>
    <numFmt numFmtId="214" formatCode="&quot;Verdadeiro&quot;;&quot;Verdadeiro&quot;;&quot;Falso&quot;"/>
    <numFmt numFmtId="215" formatCode="&quot;Ativar&quot;;&quot;Ativar&quot;;&quot;Desativar&quot;"/>
    <numFmt numFmtId="216" formatCode="[$€-2]\ #,##0.00_);[Red]\([$€-2]\ #,##0.00\)"/>
    <numFmt numFmtId="217" formatCode="#,##0.00;[Red]#,##0.00"/>
    <numFmt numFmtId="218" formatCode="0;[Red]0"/>
    <numFmt numFmtId="219" formatCode="0.00_);[Red]\(0.00\)"/>
    <numFmt numFmtId="220" formatCode="0.00;[Red]0.00"/>
    <numFmt numFmtId="221" formatCode="_(* #,##0_);_(* \(#,##0\);_(* &quot;-&quot;??_);_(@_)"/>
    <numFmt numFmtId="222" formatCode="_(* #,##0.0_);_(* \(#,##0.0\);_(* &quot;-&quot;??_);_(@_)"/>
    <numFmt numFmtId="223" formatCode="_(* #,##0.000_);_(* \(#,##0.000\);_(* &quot;-&quot;??_);_(@_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7.5"/>
      <name val="Verdana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9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97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10" fontId="0" fillId="0" borderId="12" xfId="0" applyNumberFormat="1" applyBorder="1" applyAlignment="1">
      <alignment/>
    </xf>
    <xf numFmtId="0" fontId="3" fillId="0" borderId="17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2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12" fillId="0" borderId="13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9" fontId="1" fillId="33" borderId="12" xfId="54" applyNumberFormat="1" applyFont="1" applyFill="1" applyBorder="1" applyAlignment="1">
      <alignment horizontal="center" vertical="center"/>
    </xf>
    <xf numFmtId="10" fontId="0" fillId="0" borderId="12" xfId="54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211" fontId="0" fillId="0" borderId="12" xfId="54" applyFill="1" applyBorder="1" applyAlignment="1">
      <alignment horizontal="right" vertical="center"/>
    </xf>
    <xf numFmtId="171" fontId="0" fillId="0" borderId="0" xfId="0" applyNumberFormat="1" applyAlignment="1">
      <alignment vertical="center"/>
    </xf>
    <xf numFmtId="9" fontId="1" fillId="0" borderId="12" xfId="54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9" fontId="1" fillId="0" borderId="12" xfId="54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9" fontId="14" fillId="0" borderId="12" xfId="54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" fontId="12" fillId="0" borderId="0" xfId="63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1" fillId="0" borderId="28" xfId="54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4" fontId="17" fillId="0" borderId="0" xfId="63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1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211" fontId="1" fillId="0" borderId="25" xfId="54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vertical="center"/>
    </xf>
    <xf numFmtId="0" fontId="1" fillId="0" borderId="29" xfId="0" applyFont="1" applyBorder="1" applyAlignment="1">
      <alignment/>
    </xf>
    <xf numFmtId="171" fontId="1" fillId="0" borderId="29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" fontId="12" fillId="0" borderId="0" xfId="63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" fillId="0" borderId="25" xfId="0" applyFont="1" applyBorder="1" applyAlignment="1">
      <alignment horizontal="center"/>
    </xf>
    <xf numFmtId="211" fontId="0" fillId="0" borderId="12" xfId="54" applyFont="1" applyFill="1" applyBorder="1" applyAlignment="1">
      <alignment horizontal="right" vertical="center"/>
    </xf>
    <xf numFmtId="4" fontId="0" fillId="0" borderId="28" xfId="54" applyNumberFormat="1" applyFont="1" applyFill="1" applyBorder="1" applyAlignment="1">
      <alignment horizontal="center" vertical="center"/>
    </xf>
    <xf numFmtId="9" fontId="0" fillId="0" borderId="28" xfId="54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20" fillId="0" borderId="20" xfId="0" applyFont="1" applyBorder="1" applyAlignment="1">
      <alignment vertical="center"/>
    </xf>
    <xf numFmtId="4" fontId="0" fillId="0" borderId="26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2" xfId="63" applyNumberFormat="1" applyFont="1" applyFill="1" applyBorder="1" applyAlignment="1">
      <alignment/>
    </xf>
    <xf numFmtId="220" fontId="0" fillId="0" borderId="25" xfId="0" applyNumberFormat="1" applyFont="1" applyFill="1" applyBorder="1" applyAlignment="1">
      <alignment horizontal="right"/>
    </xf>
    <xf numFmtId="197" fontId="12" fillId="0" borderId="12" xfId="63" applyFont="1" applyFill="1" applyBorder="1" applyAlignment="1">
      <alignment horizontal="right"/>
    </xf>
    <xf numFmtId="4" fontId="0" fillId="0" borderId="25" xfId="0" applyNumberFormat="1" applyFont="1" applyBorder="1" applyAlignment="1">
      <alignment horizontal="right" vertical="center"/>
    </xf>
    <xf numFmtId="2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4" fontId="1" fillId="0" borderId="17" xfId="0" applyNumberFormat="1" applyFont="1" applyBorder="1" applyAlignment="1">
      <alignment horizontal="left" wrapText="1"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left" vertical="center"/>
    </xf>
    <xf numFmtId="4" fontId="0" fillId="0" borderId="25" xfId="0" applyNumberFormat="1" applyFont="1" applyBorder="1" applyAlignment="1">
      <alignment horizontal="center"/>
    </xf>
    <xf numFmtId="49" fontId="15" fillId="0" borderId="36" xfId="0" applyNumberFormat="1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right"/>
    </xf>
    <xf numFmtId="4" fontId="8" fillId="0" borderId="38" xfId="0" applyNumberFormat="1" applyFont="1" applyFill="1" applyBorder="1" applyAlignment="1">
      <alignment horizontal="right"/>
    </xf>
    <xf numFmtId="4" fontId="19" fillId="0" borderId="39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18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right"/>
    </xf>
    <xf numFmtId="217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right"/>
    </xf>
    <xf numFmtId="217" fontId="0" fillId="0" borderId="12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wrapText="1"/>
    </xf>
    <xf numFmtId="4" fontId="20" fillId="0" borderId="12" xfId="0" applyNumberFormat="1" applyFont="1" applyFill="1" applyBorder="1" applyAlignment="1">
      <alignment horizontal="right"/>
    </xf>
    <xf numFmtId="4" fontId="20" fillId="0" borderId="3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quotePrefix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" fontId="0" fillId="0" borderId="3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" fontId="0" fillId="0" borderId="41" xfId="0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4" fontId="0" fillId="0" borderId="12" xfId="0" applyNumberFormat="1" applyFont="1" applyFill="1" applyBorder="1" applyAlignment="1">
      <alignment/>
    </xf>
    <xf numFmtId="217" fontId="0" fillId="0" borderId="12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20" fillId="0" borderId="3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4" fontId="0" fillId="0" borderId="12" xfId="0" applyNumberFormat="1" applyFill="1" applyBorder="1" applyAlignment="1">
      <alignment/>
    </xf>
    <xf numFmtId="49" fontId="21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19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4" fontId="20" fillId="0" borderId="4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171" fontId="0" fillId="0" borderId="35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0" fontId="12" fillId="0" borderId="24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4" fontId="1" fillId="0" borderId="41" xfId="54" applyNumberFormat="1" applyFont="1" applyFill="1" applyBorder="1" applyAlignment="1">
      <alignment horizontal="center" vertical="center"/>
    </xf>
    <xf numFmtId="171" fontId="1" fillId="0" borderId="46" xfId="0" applyNumberFormat="1" applyFont="1" applyBorder="1" applyAlignment="1">
      <alignment/>
    </xf>
    <xf numFmtId="171" fontId="1" fillId="0" borderId="47" xfId="0" applyNumberFormat="1" applyFont="1" applyBorder="1" applyAlignment="1">
      <alignment/>
    </xf>
    <xf numFmtId="0" fontId="23" fillId="0" borderId="1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171" fontId="0" fillId="0" borderId="12" xfId="0" applyNumberFormat="1" applyFill="1" applyBorder="1" applyAlignment="1">
      <alignment/>
    </xf>
    <xf numFmtId="171" fontId="0" fillId="0" borderId="17" xfId="0" applyNumberFormat="1" applyFill="1" applyBorder="1" applyAlignment="1">
      <alignment horizontal="right"/>
    </xf>
    <xf numFmtId="2" fontId="0" fillId="0" borderId="35" xfId="0" applyNumberFormat="1" applyFill="1" applyBorder="1" applyAlignment="1">
      <alignment/>
    </xf>
    <xf numFmtId="171" fontId="0" fillId="0" borderId="35" xfId="0" applyNumberFormat="1" applyFill="1" applyBorder="1" applyAlignment="1">
      <alignment horizontal="right"/>
    </xf>
    <xf numFmtId="171" fontId="0" fillId="0" borderId="12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right" wrapText="1"/>
    </xf>
    <xf numFmtId="2" fontId="5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21" fontId="0" fillId="0" borderId="35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35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vertical="justify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4" fontId="20" fillId="0" borderId="25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left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_Cronograma 6 meses CRAS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4343400</xdr:colOff>
      <xdr:row>0</xdr:row>
      <xdr:rowOff>28575</xdr:rowOff>
    </xdr:from>
    <xdr:to>
      <xdr:col>5</xdr:col>
      <xdr:colOff>57150</xdr:colOff>
      <xdr:row>0</xdr:row>
      <xdr:rowOff>885825</xdr:rowOff>
    </xdr:to>
    <xdr:pic>
      <xdr:nvPicPr>
        <xdr:cNvPr id="1" name="Picture 1" descr="Brasão Pr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8575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0</xdr:rowOff>
    </xdr:from>
    <xdr:to>
      <xdr:col>6</xdr:col>
      <xdr:colOff>752475</xdr:colOff>
      <xdr:row>0</xdr:row>
      <xdr:rowOff>1190625</xdr:rowOff>
    </xdr:to>
    <xdr:pic>
      <xdr:nvPicPr>
        <xdr:cNvPr id="1" name="Picture 7" descr="Brasão Pr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1714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03\documentos\Or&#231;amentos%202009\Or&#231;a17-09%20Galp&#227;o%20de%20Triagem\Licita&#231;&#227;o\Or&#231;a15-07(Posto%20de%20Saude%20Auxiliado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 Auxiliadora"/>
      <sheetName val="PS Ausiliadora 3"/>
    </sheetNames>
    <sheetDataSet>
      <sheetData sheetId="1">
        <row r="18">
          <cell r="B18" t="str">
            <v>Alvenarias</v>
          </cell>
        </row>
        <row r="39">
          <cell r="B39" t="str">
            <v>Revestimentos</v>
          </cell>
        </row>
        <row r="117">
          <cell r="B117" t="str">
            <v>Pintura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"/>
  <sheetViews>
    <sheetView tabSelected="1" view="pageBreakPreview" zoomScale="85" zoomScaleNormal="75" zoomScaleSheetLayoutView="85" zoomScalePageLayoutView="0" workbookViewId="0" topLeftCell="A106">
      <selection activeCell="C55" sqref="C55"/>
    </sheetView>
  </sheetViews>
  <sheetFormatPr defaultColWidth="11.421875" defaultRowHeight="12.75"/>
  <cols>
    <col min="1" max="1" width="5.7109375" style="0" customWidth="1"/>
    <col min="2" max="2" width="8.421875" style="0" customWidth="1"/>
    <col min="3" max="3" width="67.8515625" style="35" customWidth="1"/>
    <col min="4" max="4" width="5.421875" style="0" customWidth="1"/>
    <col min="5" max="5" width="8.140625" style="0" customWidth="1"/>
    <col min="6" max="6" width="8.00390625" style="20" customWidth="1"/>
    <col min="7" max="7" width="8.421875" style="73" customWidth="1"/>
    <col min="8" max="8" width="9.140625" style="20" customWidth="1"/>
    <col min="9" max="9" width="13.140625" style="20" customWidth="1"/>
    <col min="10" max="10" width="12.8515625" style="20" customWidth="1"/>
    <col min="11" max="11" width="13.421875" style="0" customWidth="1"/>
    <col min="12" max="15" width="11.421875" style="0" customWidth="1"/>
    <col min="16" max="16" width="33.00390625" style="0" customWidth="1"/>
  </cols>
  <sheetData>
    <row r="1" spans="1:11" ht="75.75" customHeight="1" thickBot="1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25.5" customHeight="1" thickBot="1">
      <c r="A2" s="322" t="s">
        <v>40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</row>
    <row r="3" spans="1:11" ht="20.25" customHeight="1" thickBot="1">
      <c r="A3" s="316" t="s">
        <v>256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ht="27" customHeight="1">
      <c r="A4" s="3"/>
      <c r="B4" s="3" t="s">
        <v>0</v>
      </c>
      <c r="C4" s="95" t="s">
        <v>257</v>
      </c>
      <c r="D4" s="86"/>
      <c r="E4" s="87"/>
      <c r="F4" s="88"/>
      <c r="G4" s="89"/>
      <c r="H4" s="19" t="s">
        <v>259</v>
      </c>
      <c r="I4" s="96"/>
      <c r="J4" s="19" t="s">
        <v>258</v>
      </c>
      <c r="K4" s="2"/>
    </row>
    <row r="5" spans="1:11" ht="15" customHeight="1" thickBot="1">
      <c r="A5" s="3"/>
      <c r="B5" s="3" t="s">
        <v>1</v>
      </c>
      <c r="C5" s="29" t="s">
        <v>300</v>
      </c>
      <c r="D5" s="9"/>
      <c r="E5" s="1"/>
      <c r="F5" s="18"/>
      <c r="G5" s="70"/>
      <c r="H5" s="19"/>
      <c r="I5" s="96"/>
      <c r="J5" s="19" t="s">
        <v>260</v>
      </c>
      <c r="K5" s="2"/>
    </row>
    <row r="6" spans="1:13" ht="39.75" customHeight="1">
      <c r="A6" s="175" t="s">
        <v>2</v>
      </c>
      <c r="B6" s="176" t="s">
        <v>47</v>
      </c>
      <c r="C6" s="177" t="s">
        <v>3</v>
      </c>
      <c r="D6" s="176" t="s">
        <v>4</v>
      </c>
      <c r="E6" s="176" t="s">
        <v>5</v>
      </c>
      <c r="F6" s="178" t="s">
        <v>70</v>
      </c>
      <c r="G6" s="178" t="s">
        <v>26</v>
      </c>
      <c r="H6" s="178" t="s">
        <v>27</v>
      </c>
      <c r="I6" s="178" t="s">
        <v>43</v>
      </c>
      <c r="J6" s="178" t="s">
        <v>27</v>
      </c>
      <c r="K6" s="179" t="s">
        <v>25</v>
      </c>
      <c r="M6" s="7"/>
    </row>
    <row r="7" spans="1:13" ht="14.25" customHeight="1">
      <c r="A7" s="180" t="s">
        <v>114</v>
      </c>
      <c r="B7" s="181"/>
      <c r="C7" s="182" t="s">
        <v>122</v>
      </c>
      <c r="D7" s="181"/>
      <c r="E7" s="181"/>
      <c r="F7" s="183"/>
      <c r="G7" s="183"/>
      <c r="H7" s="183"/>
      <c r="I7" s="183"/>
      <c r="J7" s="183"/>
      <c r="K7" s="184"/>
      <c r="M7" s="7"/>
    </row>
    <row r="8" spans="1:11" s="15" customFormat="1" ht="15" customHeight="1">
      <c r="A8" s="185">
        <v>1</v>
      </c>
      <c r="B8" s="186"/>
      <c r="C8" s="187" t="s">
        <v>91</v>
      </c>
      <c r="D8" s="188"/>
      <c r="E8" s="188"/>
      <c r="F8" s="189"/>
      <c r="G8" s="190"/>
      <c r="H8" s="189"/>
      <c r="I8" s="189"/>
      <c r="J8" s="189"/>
      <c r="K8" s="191"/>
    </row>
    <row r="9" spans="1:12" s="15" customFormat="1" ht="39">
      <c r="A9" s="192" t="s">
        <v>6</v>
      </c>
      <c r="B9" s="193" t="s">
        <v>250</v>
      </c>
      <c r="C9" s="194" t="s">
        <v>251</v>
      </c>
      <c r="D9" s="195" t="s">
        <v>9</v>
      </c>
      <c r="E9" s="196">
        <v>4</v>
      </c>
      <c r="F9" s="197">
        <v>169.8</v>
      </c>
      <c r="G9" s="198">
        <f>ROUND(F9*0.7*1.25,2)</f>
        <v>148.58</v>
      </c>
      <c r="H9" s="198">
        <f>ROUND(F9*0.3*1.25,2)</f>
        <v>63.68</v>
      </c>
      <c r="I9" s="198">
        <f>ROUND(E9*G9,2)</f>
        <v>594.32</v>
      </c>
      <c r="J9" s="198">
        <f>ROUND(E9*H9,2)</f>
        <v>254.72</v>
      </c>
      <c r="K9" s="199">
        <f>I9+J9</f>
        <v>849.0400000000001</v>
      </c>
      <c r="L9" s="16"/>
    </row>
    <row r="10" spans="1:12" s="15" customFormat="1" ht="12.75">
      <c r="A10" s="192" t="s">
        <v>7</v>
      </c>
      <c r="B10" s="193" t="s">
        <v>94</v>
      </c>
      <c r="C10" s="200" t="s">
        <v>48</v>
      </c>
      <c r="D10" s="195" t="s">
        <v>9</v>
      </c>
      <c r="E10" s="201">
        <v>2</v>
      </c>
      <c r="F10" s="197">
        <v>212.65</v>
      </c>
      <c r="G10" s="198">
        <f aca="true" t="shared" si="0" ref="G10:G73">ROUND(F10*0.7*1.25,2)</f>
        <v>186.07</v>
      </c>
      <c r="H10" s="198">
        <f aca="true" t="shared" si="1" ref="H10:H73">ROUND(F10*0.3*1.25,2)</f>
        <v>79.74</v>
      </c>
      <c r="I10" s="198">
        <f>ROUND(E10*G10,2)</f>
        <v>372.14</v>
      </c>
      <c r="J10" s="198">
        <f>ROUND(E10*H10,2)</f>
        <v>159.48</v>
      </c>
      <c r="K10" s="199">
        <f>I10+J10</f>
        <v>531.62</v>
      </c>
      <c r="L10" s="16"/>
    </row>
    <row r="11" spans="1:12" s="15" customFormat="1" ht="26.25">
      <c r="A11" s="192" t="s">
        <v>8</v>
      </c>
      <c r="B11" s="193" t="s">
        <v>167</v>
      </c>
      <c r="C11" s="202" t="s">
        <v>168</v>
      </c>
      <c r="D11" s="195" t="s">
        <v>9</v>
      </c>
      <c r="E11" s="201">
        <v>99.11</v>
      </c>
      <c r="F11" s="197">
        <v>26.79</v>
      </c>
      <c r="G11" s="198">
        <f t="shared" si="0"/>
        <v>23.44</v>
      </c>
      <c r="H11" s="198">
        <f t="shared" si="1"/>
        <v>10.05</v>
      </c>
      <c r="I11" s="198">
        <f>ROUND(E11*G11,2)</f>
        <v>2323.14</v>
      </c>
      <c r="J11" s="198">
        <f>ROUND(E11*H11,2)</f>
        <v>996.06</v>
      </c>
      <c r="K11" s="199">
        <f>I11+J11</f>
        <v>3319.2</v>
      </c>
      <c r="L11" s="16"/>
    </row>
    <row r="12" spans="1:20" s="15" customFormat="1" ht="15">
      <c r="A12" s="192"/>
      <c r="B12" s="203"/>
      <c r="C12" s="204" t="s">
        <v>10</v>
      </c>
      <c r="D12" s="195"/>
      <c r="E12" s="201"/>
      <c r="F12" s="198"/>
      <c r="G12" s="198"/>
      <c r="H12" s="198"/>
      <c r="I12" s="205">
        <f>SUM(I9:I11)</f>
        <v>3289.6</v>
      </c>
      <c r="J12" s="205">
        <f>SUM(J9:J11)</f>
        <v>1410.26</v>
      </c>
      <c r="K12" s="206">
        <f>SUM(I12:J12)</f>
        <v>4699.86</v>
      </c>
      <c r="L12" s="120"/>
      <c r="M12" s="120"/>
      <c r="N12" s="120"/>
      <c r="O12" s="119"/>
      <c r="P12" s="119"/>
      <c r="Q12" s="119"/>
      <c r="R12" s="119"/>
      <c r="S12" s="119"/>
      <c r="T12" s="119"/>
    </row>
    <row r="13" spans="1:20" s="90" customFormat="1" ht="18.75" customHeight="1">
      <c r="A13" s="100"/>
      <c r="B13" s="142"/>
      <c r="C13" s="146" t="s">
        <v>124</v>
      </c>
      <c r="D13" s="106"/>
      <c r="E13" s="107"/>
      <c r="F13" s="83"/>
      <c r="G13" s="198"/>
      <c r="H13" s="198"/>
      <c r="I13" s="139">
        <f>SUM(I12)</f>
        <v>3289.6</v>
      </c>
      <c r="J13" s="139">
        <f>SUM(J12)</f>
        <v>1410.26</v>
      </c>
      <c r="K13" s="139">
        <f>SUM(I13:J13)</f>
        <v>4699.86</v>
      </c>
      <c r="L13" s="126"/>
      <c r="M13" s="126"/>
      <c r="N13" s="126"/>
      <c r="O13" s="91"/>
      <c r="P13" s="92"/>
      <c r="Q13" s="93"/>
      <c r="R13" s="94"/>
      <c r="S13" s="124"/>
      <c r="T13" s="124"/>
    </row>
    <row r="14" spans="1:20" s="15" customFormat="1" ht="13.5" customHeight="1">
      <c r="A14" s="207" t="s">
        <v>123</v>
      </c>
      <c r="B14" s="203"/>
      <c r="C14" s="208" t="s">
        <v>252</v>
      </c>
      <c r="D14" s="195"/>
      <c r="E14" s="201"/>
      <c r="F14" s="198"/>
      <c r="G14" s="198"/>
      <c r="H14" s="198"/>
      <c r="I14" s="209"/>
      <c r="J14" s="209"/>
      <c r="K14" s="210"/>
      <c r="L14" s="120"/>
      <c r="M14" s="120"/>
      <c r="N14" s="120"/>
      <c r="O14" s="119"/>
      <c r="P14" s="119"/>
      <c r="Q14" s="119"/>
      <c r="R14" s="119"/>
      <c r="S14" s="119"/>
      <c r="T14" s="119"/>
    </row>
    <row r="15" spans="1:20" s="15" customFormat="1" ht="15" customHeight="1">
      <c r="A15" s="211" t="s">
        <v>84</v>
      </c>
      <c r="B15" s="203"/>
      <c r="C15" s="187" t="s">
        <v>90</v>
      </c>
      <c r="D15" s="195"/>
      <c r="E15" s="212"/>
      <c r="F15" s="212"/>
      <c r="G15" s="198"/>
      <c r="H15" s="198"/>
      <c r="I15" s="212"/>
      <c r="J15" s="213"/>
      <c r="K15" s="214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s="15" customFormat="1" ht="27" customHeight="1">
      <c r="A16" s="215" t="s">
        <v>74</v>
      </c>
      <c r="B16" s="216" t="s">
        <v>95</v>
      </c>
      <c r="C16" s="217" t="s">
        <v>93</v>
      </c>
      <c r="D16" s="195" t="s">
        <v>9</v>
      </c>
      <c r="E16" s="212">
        <v>64</v>
      </c>
      <c r="F16" s="212">
        <v>4.86</v>
      </c>
      <c r="G16" s="198">
        <f t="shared" si="0"/>
        <v>4.25</v>
      </c>
      <c r="H16" s="198">
        <f t="shared" si="1"/>
        <v>1.82</v>
      </c>
      <c r="I16" s="198">
        <f>ROUND(E16*G16,2)</f>
        <v>272</v>
      </c>
      <c r="J16" s="198">
        <f>ROUND(E16*H16,2)</f>
        <v>116.48</v>
      </c>
      <c r="K16" s="218">
        <f>I16+J16</f>
        <v>388.48</v>
      </c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s="15" customFormat="1" ht="26.25">
      <c r="A17" s="215" t="s">
        <v>75</v>
      </c>
      <c r="B17" s="203" t="s">
        <v>53</v>
      </c>
      <c r="C17" s="194" t="s">
        <v>152</v>
      </c>
      <c r="D17" s="219" t="s">
        <v>11</v>
      </c>
      <c r="E17" s="213">
        <v>5</v>
      </c>
      <c r="F17" s="213">
        <v>17.14</v>
      </c>
      <c r="G17" s="198">
        <f t="shared" si="0"/>
        <v>15</v>
      </c>
      <c r="H17" s="198">
        <f t="shared" si="1"/>
        <v>6.43</v>
      </c>
      <c r="I17" s="198">
        <f>ROUND(E17*G17,2)</f>
        <v>75</v>
      </c>
      <c r="J17" s="198">
        <f>ROUND(E17*H17,2)</f>
        <v>32.15</v>
      </c>
      <c r="K17" s="199">
        <f>I17+J17</f>
        <v>107.15</v>
      </c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s="15" customFormat="1" ht="26.25">
      <c r="A18" s="215" t="s">
        <v>115</v>
      </c>
      <c r="B18" s="203" t="s">
        <v>96</v>
      </c>
      <c r="C18" s="220" t="s">
        <v>139</v>
      </c>
      <c r="D18" s="219" t="s">
        <v>11</v>
      </c>
      <c r="E18" s="221">
        <v>1</v>
      </c>
      <c r="F18" s="213">
        <v>14.11</v>
      </c>
      <c r="G18" s="198">
        <f t="shared" si="0"/>
        <v>12.35</v>
      </c>
      <c r="H18" s="198">
        <f t="shared" si="1"/>
        <v>5.29</v>
      </c>
      <c r="I18" s="198">
        <f>ROUND(E18*G18,2)</f>
        <v>12.35</v>
      </c>
      <c r="J18" s="198">
        <f>ROUND(E18*H18,2)</f>
        <v>5.29</v>
      </c>
      <c r="K18" s="218">
        <f>I18+J18</f>
        <v>17.64</v>
      </c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s="98" customFormat="1" ht="26.25">
      <c r="A19" s="215" t="s">
        <v>116</v>
      </c>
      <c r="B19" s="222" t="s">
        <v>163</v>
      </c>
      <c r="C19" s="217" t="s">
        <v>162</v>
      </c>
      <c r="D19" s="219" t="s">
        <v>11</v>
      </c>
      <c r="E19" s="293">
        <v>10</v>
      </c>
      <c r="F19" s="223">
        <v>33.47</v>
      </c>
      <c r="G19" s="198">
        <f t="shared" si="0"/>
        <v>29.29</v>
      </c>
      <c r="H19" s="198">
        <f t="shared" si="1"/>
        <v>12.55</v>
      </c>
      <c r="I19" s="198">
        <f>ROUND(E19*G19,2)</f>
        <v>292.9</v>
      </c>
      <c r="J19" s="198">
        <f>ROUND(E19*H19,2)</f>
        <v>125.5</v>
      </c>
      <c r="K19" s="218">
        <f>I19+J19</f>
        <v>418.4</v>
      </c>
      <c r="L19" s="127"/>
      <c r="M19" s="127"/>
      <c r="N19" s="127"/>
      <c r="O19" s="127"/>
      <c r="P19" s="127"/>
      <c r="Q19" s="127"/>
      <c r="R19" s="127"/>
      <c r="S19" s="127"/>
      <c r="T19" s="127"/>
    </row>
    <row r="20" spans="1:20" s="15" customFormat="1" ht="15">
      <c r="A20" s="224"/>
      <c r="B20" s="203"/>
      <c r="C20" s="225" t="s">
        <v>10</v>
      </c>
      <c r="D20" s="226"/>
      <c r="E20" s="227"/>
      <c r="F20" s="213"/>
      <c r="G20" s="198"/>
      <c r="H20" s="198"/>
      <c r="I20" s="205">
        <f>SUM(I16:I19)</f>
        <v>652.25</v>
      </c>
      <c r="J20" s="205">
        <f>SUM(J16:J19)</f>
        <v>279.41999999999996</v>
      </c>
      <c r="K20" s="206">
        <f>SUM(K16:K19)</f>
        <v>931.67</v>
      </c>
      <c r="L20" s="120"/>
      <c r="M20" s="120"/>
      <c r="N20" s="120"/>
      <c r="O20" s="119"/>
      <c r="P20" s="119"/>
      <c r="Q20" s="119"/>
      <c r="R20" s="119"/>
      <c r="S20" s="119"/>
      <c r="T20" s="119"/>
    </row>
    <row r="21" spans="1:20" s="15" customFormat="1" ht="12.75">
      <c r="A21" s="211" t="s">
        <v>12</v>
      </c>
      <c r="B21" s="203"/>
      <c r="C21" s="187" t="s">
        <v>29</v>
      </c>
      <c r="D21" s="219"/>
      <c r="E21" s="213"/>
      <c r="F21" s="213"/>
      <c r="G21" s="198"/>
      <c r="H21" s="198"/>
      <c r="I21" s="213"/>
      <c r="J21" s="213"/>
      <c r="K21" s="214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s="15" customFormat="1" ht="26.25">
      <c r="A22" s="224" t="s">
        <v>78</v>
      </c>
      <c r="B22" s="203" t="s">
        <v>85</v>
      </c>
      <c r="C22" s="194" t="s">
        <v>153</v>
      </c>
      <c r="D22" s="219" t="s">
        <v>11</v>
      </c>
      <c r="E22" s="213">
        <v>2</v>
      </c>
      <c r="F22" s="213">
        <v>240.98</v>
      </c>
      <c r="G22" s="198">
        <f t="shared" si="0"/>
        <v>210.86</v>
      </c>
      <c r="H22" s="198">
        <f t="shared" si="1"/>
        <v>90.37</v>
      </c>
      <c r="I22" s="198">
        <f>ROUND(E22*G22,2)</f>
        <v>421.72</v>
      </c>
      <c r="J22" s="198">
        <f>ROUND(E22*H22,2)</f>
        <v>180.74</v>
      </c>
      <c r="K22" s="218">
        <f>I22+J22</f>
        <v>602.46</v>
      </c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s="15" customFormat="1" ht="26.25" customHeight="1">
      <c r="A23" s="224" t="s">
        <v>54</v>
      </c>
      <c r="B23" s="203" t="s">
        <v>73</v>
      </c>
      <c r="C23" s="217" t="s">
        <v>147</v>
      </c>
      <c r="D23" s="228" t="s">
        <v>9</v>
      </c>
      <c r="E23" s="229">
        <v>3</v>
      </c>
      <c r="F23" s="213">
        <v>96.8</v>
      </c>
      <c r="G23" s="198">
        <f t="shared" si="0"/>
        <v>84.7</v>
      </c>
      <c r="H23" s="198">
        <f t="shared" si="1"/>
        <v>36.3</v>
      </c>
      <c r="I23" s="198">
        <f>ROUND(E23*G23,2)</f>
        <v>254.1</v>
      </c>
      <c r="J23" s="198">
        <f>ROUND(E23*H23,2)</f>
        <v>108.9</v>
      </c>
      <c r="K23" s="218">
        <f>I23+J23</f>
        <v>363</v>
      </c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s="15" customFormat="1" ht="15" customHeight="1">
      <c r="A24" s="224" t="s">
        <v>86</v>
      </c>
      <c r="B24" s="203" t="s">
        <v>126</v>
      </c>
      <c r="C24" s="194" t="s">
        <v>164</v>
      </c>
      <c r="D24" s="219" t="s">
        <v>11</v>
      </c>
      <c r="E24" s="213">
        <v>2.5</v>
      </c>
      <c r="F24" s="213">
        <v>1383.8</v>
      </c>
      <c r="G24" s="198">
        <f t="shared" si="0"/>
        <v>1210.83</v>
      </c>
      <c r="H24" s="198">
        <f t="shared" si="1"/>
        <v>518.93</v>
      </c>
      <c r="I24" s="198">
        <f>ROUND(E24*G24,2)</f>
        <v>3027.08</v>
      </c>
      <c r="J24" s="198">
        <f>ROUND(E24*H24,2)</f>
        <v>1297.33</v>
      </c>
      <c r="K24" s="218">
        <f>I24+J24</f>
        <v>4324.41</v>
      </c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s="15" customFormat="1" ht="27.75" customHeight="1">
      <c r="A25" s="224" t="s">
        <v>118</v>
      </c>
      <c r="B25" s="203" t="s">
        <v>285</v>
      </c>
      <c r="C25" s="230" t="s">
        <v>87</v>
      </c>
      <c r="D25" s="219" t="s">
        <v>9</v>
      </c>
      <c r="E25" s="213">
        <v>8</v>
      </c>
      <c r="F25" s="213">
        <v>22.94</v>
      </c>
      <c r="G25" s="198">
        <f t="shared" si="0"/>
        <v>20.07</v>
      </c>
      <c r="H25" s="198">
        <f t="shared" si="1"/>
        <v>8.6</v>
      </c>
      <c r="I25" s="198">
        <f>ROUND(E25*G25,2)</f>
        <v>160.56</v>
      </c>
      <c r="J25" s="198">
        <f>ROUND(E25*H25,2)</f>
        <v>68.8</v>
      </c>
      <c r="K25" s="218">
        <f>I25+J25</f>
        <v>229.36</v>
      </c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s="15" customFormat="1" ht="15" customHeight="1">
      <c r="A26" s="224"/>
      <c r="B26" s="203"/>
      <c r="C26" s="204" t="s">
        <v>10</v>
      </c>
      <c r="D26" s="219"/>
      <c r="E26" s="213"/>
      <c r="F26" s="213"/>
      <c r="G26" s="198"/>
      <c r="H26" s="198"/>
      <c r="I26" s="205">
        <f>SUM(I16:I25)</f>
        <v>5167.96</v>
      </c>
      <c r="J26" s="205">
        <f>SUM(J16:J25)</f>
        <v>2214.61</v>
      </c>
      <c r="K26" s="206">
        <f>SUM(K16:K25)</f>
        <v>7382.57</v>
      </c>
      <c r="L26" s="120"/>
      <c r="M26" s="120"/>
      <c r="N26" s="120"/>
      <c r="O26" s="119"/>
      <c r="P26" s="119"/>
      <c r="Q26" s="119"/>
      <c r="R26" s="119"/>
      <c r="S26" s="119"/>
      <c r="T26" s="119"/>
    </row>
    <row r="27" spans="1:20" s="15" customFormat="1" ht="15" customHeight="1">
      <c r="A27" s="211" t="s">
        <v>13</v>
      </c>
      <c r="B27" s="203"/>
      <c r="C27" s="187" t="s">
        <v>71</v>
      </c>
      <c r="D27" s="219"/>
      <c r="E27" s="213"/>
      <c r="F27" s="213"/>
      <c r="G27" s="198"/>
      <c r="H27" s="198"/>
      <c r="I27" s="213"/>
      <c r="J27" s="213"/>
      <c r="K27" s="214"/>
      <c r="L27" s="120"/>
      <c r="M27" s="119"/>
      <c r="N27" s="119"/>
      <c r="O27" s="119"/>
      <c r="P27" s="119"/>
      <c r="Q27" s="119"/>
      <c r="R27" s="119"/>
      <c r="S27" s="119"/>
      <c r="T27" s="119"/>
    </row>
    <row r="28" spans="1:20" s="15" customFormat="1" ht="26.25">
      <c r="A28" s="224" t="s">
        <v>55</v>
      </c>
      <c r="B28" s="203" t="s">
        <v>148</v>
      </c>
      <c r="C28" s="217" t="s">
        <v>97</v>
      </c>
      <c r="D28" s="219" t="s">
        <v>11</v>
      </c>
      <c r="E28" s="213">
        <v>2</v>
      </c>
      <c r="F28" s="213">
        <v>1383.8</v>
      </c>
      <c r="G28" s="198">
        <f t="shared" si="0"/>
        <v>1210.83</v>
      </c>
      <c r="H28" s="198">
        <f t="shared" si="1"/>
        <v>518.93</v>
      </c>
      <c r="I28" s="198">
        <f>ROUND(E28*G28,2)</f>
        <v>2421.66</v>
      </c>
      <c r="J28" s="198">
        <f>ROUND(E28*H28,2)</f>
        <v>1037.86</v>
      </c>
      <c r="K28" s="218">
        <f>I28+J28</f>
        <v>3459.5199999999995</v>
      </c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s="15" customFormat="1" ht="12.75">
      <c r="A29" s="224" t="s">
        <v>44</v>
      </c>
      <c r="B29" s="203" t="s">
        <v>126</v>
      </c>
      <c r="C29" s="231" t="s">
        <v>154</v>
      </c>
      <c r="D29" s="219" t="s">
        <v>11</v>
      </c>
      <c r="E29" s="232">
        <v>1</v>
      </c>
      <c r="F29" s="213">
        <v>1383.8</v>
      </c>
      <c r="G29" s="198">
        <f t="shared" si="0"/>
        <v>1210.83</v>
      </c>
      <c r="H29" s="198">
        <f t="shared" si="1"/>
        <v>518.93</v>
      </c>
      <c r="I29" s="198">
        <f>ROUND(E29*G29,2)</f>
        <v>1210.83</v>
      </c>
      <c r="J29" s="198">
        <f>ROUND(E29*H29,2)</f>
        <v>518.93</v>
      </c>
      <c r="K29" s="218">
        <f>I29+J29</f>
        <v>1729.7599999999998</v>
      </c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s="15" customFormat="1" ht="15">
      <c r="A30" s="224"/>
      <c r="B30" s="203"/>
      <c r="C30" s="204" t="s">
        <v>10</v>
      </c>
      <c r="D30" s="219"/>
      <c r="E30" s="213"/>
      <c r="F30" s="213"/>
      <c r="G30" s="198"/>
      <c r="H30" s="198"/>
      <c r="I30" s="205">
        <f>SUM(I28:I29)</f>
        <v>3632.49</v>
      </c>
      <c r="J30" s="205">
        <f>SUM(J28:J29)</f>
        <v>1556.79</v>
      </c>
      <c r="K30" s="206">
        <f>SUM(K28:K29)</f>
        <v>5189.279999999999</v>
      </c>
      <c r="L30" s="120"/>
      <c r="M30" s="120"/>
      <c r="N30" s="120"/>
      <c r="O30" s="119"/>
      <c r="P30" s="119"/>
      <c r="Q30" s="119"/>
      <c r="R30" s="119"/>
      <c r="S30" s="119"/>
      <c r="T30" s="119"/>
    </row>
    <row r="31" spans="1:20" s="15" customFormat="1" ht="13.5" customHeight="1">
      <c r="A31" s="211" t="s">
        <v>24</v>
      </c>
      <c r="B31" s="203"/>
      <c r="C31" s="187" t="s">
        <v>42</v>
      </c>
      <c r="D31" s="219"/>
      <c r="E31" s="213"/>
      <c r="F31" s="213"/>
      <c r="G31" s="198"/>
      <c r="H31" s="198"/>
      <c r="I31" s="213"/>
      <c r="J31" s="213"/>
      <c r="K31" s="214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s="15" customFormat="1" ht="27.75" customHeight="1">
      <c r="A32" s="224" t="s">
        <v>209</v>
      </c>
      <c r="B32" s="203" t="s">
        <v>98</v>
      </c>
      <c r="C32" s="194" t="s">
        <v>88</v>
      </c>
      <c r="D32" s="219" t="s">
        <v>9</v>
      </c>
      <c r="E32" s="213">
        <v>45</v>
      </c>
      <c r="F32" s="213">
        <v>54.93</v>
      </c>
      <c r="G32" s="198">
        <f t="shared" si="0"/>
        <v>48.06</v>
      </c>
      <c r="H32" s="198">
        <f t="shared" si="1"/>
        <v>20.6</v>
      </c>
      <c r="I32" s="198">
        <f>ROUND(E32*G32,2)</f>
        <v>2162.7</v>
      </c>
      <c r="J32" s="198">
        <f>ROUND(E32*H32,2)</f>
        <v>927</v>
      </c>
      <c r="K32" s="218">
        <f>I32+J32</f>
        <v>3089.7</v>
      </c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s="15" customFormat="1" ht="15" customHeight="1">
      <c r="A33" s="224"/>
      <c r="B33" s="203"/>
      <c r="C33" s="204" t="s">
        <v>10</v>
      </c>
      <c r="D33" s="219"/>
      <c r="E33" s="213"/>
      <c r="F33" s="213"/>
      <c r="G33" s="198"/>
      <c r="H33" s="198"/>
      <c r="I33" s="205">
        <f>SUM(I32)</f>
        <v>2162.7</v>
      </c>
      <c r="J33" s="205">
        <f>SUM(J32)</f>
        <v>927</v>
      </c>
      <c r="K33" s="206">
        <f>SUM(K32)</f>
        <v>3089.7</v>
      </c>
      <c r="L33" s="120"/>
      <c r="M33" s="120"/>
      <c r="N33" s="120"/>
      <c r="O33" s="119"/>
      <c r="P33" s="119"/>
      <c r="Q33" s="119"/>
      <c r="R33" s="119"/>
      <c r="S33" s="119"/>
      <c r="T33" s="119"/>
    </row>
    <row r="34" spans="1:20" s="15" customFormat="1" ht="15" customHeight="1">
      <c r="A34" s="211" t="s">
        <v>32</v>
      </c>
      <c r="B34" s="203"/>
      <c r="C34" s="187" t="s">
        <v>34</v>
      </c>
      <c r="D34" s="219"/>
      <c r="E34" s="213"/>
      <c r="F34" s="213"/>
      <c r="G34" s="198"/>
      <c r="H34" s="198"/>
      <c r="I34" s="213"/>
      <c r="J34" s="213"/>
      <c r="K34" s="234"/>
      <c r="L34" s="120"/>
      <c r="M34" s="119"/>
      <c r="N34" s="119"/>
      <c r="O34" s="119"/>
      <c r="P34" s="119"/>
      <c r="Q34" s="119"/>
      <c r="R34" s="119"/>
      <c r="S34" s="119"/>
      <c r="T34" s="119"/>
    </row>
    <row r="35" spans="1:20" s="69" customFormat="1" ht="66">
      <c r="A35" s="224" t="s">
        <v>45</v>
      </c>
      <c r="B35" s="235">
        <v>72110</v>
      </c>
      <c r="C35" s="194" t="s">
        <v>253</v>
      </c>
      <c r="D35" s="236" t="s">
        <v>9</v>
      </c>
      <c r="E35" s="198">
        <v>83.82</v>
      </c>
      <c r="F35" s="198">
        <v>51.3</v>
      </c>
      <c r="G35" s="198">
        <f t="shared" si="0"/>
        <v>44.89</v>
      </c>
      <c r="H35" s="198">
        <f t="shared" si="1"/>
        <v>19.24</v>
      </c>
      <c r="I35" s="198">
        <f>ROUND(E35*G35,2)</f>
        <v>3762.68</v>
      </c>
      <c r="J35" s="198">
        <f>ROUND(E35*H35,2)</f>
        <v>1612.7</v>
      </c>
      <c r="K35" s="199">
        <f>I35+J35</f>
        <v>5375.38</v>
      </c>
      <c r="L35" s="121"/>
      <c r="M35" s="121"/>
      <c r="N35" s="121"/>
      <c r="O35" s="121"/>
      <c r="P35" s="121"/>
      <c r="Q35" s="121"/>
      <c r="R35" s="121"/>
      <c r="S35" s="121"/>
      <c r="T35" s="121"/>
    </row>
    <row r="36" spans="1:20" s="69" customFormat="1" ht="12.75">
      <c r="A36" s="224" t="s">
        <v>119</v>
      </c>
      <c r="B36" s="235" t="s">
        <v>149</v>
      </c>
      <c r="C36" s="194" t="s">
        <v>127</v>
      </c>
      <c r="D36" s="236" t="s">
        <v>9</v>
      </c>
      <c r="E36" s="198">
        <v>83.82</v>
      </c>
      <c r="F36" s="198">
        <v>22.83</v>
      </c>
      <c r="G36" s="198">
        <f t="shared" si="0"/>
        <v>19.98</v>
      </c>
      <c r="H36" s="198">
        <f t="shared" si="1"/>
        <v>8.56</v>
      </c>
      <c r="I36" s="198">
        <f>ROUND(E36*G36,2)</f>
        <v>1674.72</v>
      </c>
      <c r="J36" s="198">
        <f>ROUND(E36*H36,2)</f>
        <v>717.5</v>
      </c>
      <c r="K36" s="199">
        <f>I36+J36</f>
        <v>2392.2200000000003</v>
      </c>
      <c r="L36" s="122"/>
      <c r="M36" s="121"/>
      <c r="N36" s="121"/>
      <c r="O36" s="121"/>
      <c r="P36" s="121"/>
      <c r="Q36" s="121"/>
      <c r="R36" s="121"/>
      <c r="S36" s="121"/>
      <c r="T36" s="121"/>
    </row>
    <row r="37" spans="1:20" s="69" customFormat="1" ht="26.25">
      <c r="A37" s="224" t="s">
        <v>133</v>
      </c>
      <c r="B37" s="216" t="s">
        <v>286</v>
      </c>
      <c r="C37" s="194" t="s">
        <v>254</v>
      </c>
      <c r="D37" s="233" t="s">
        <v>9</v>
      </c>
      <c r="E37" s="229">
        <v>12</v>
      </c>
      <c r="F37" s="213">
        <v>32</v>
      </c>
      <c r="G37" s="198">
        <f t="shared" si="0"/>
        <v>28</v>
      </c>
      <c r="H37" s="198">
        <f t="shared" si="1"/>
        <v>12</v>
      </c>
      <c r="I37" s="198">
        <f>ROUND(E37*G37,2)</f>
        <v>336</v>
      </c>
      <c r="J37" s="198">
        <f>ROUND(E37*H37,2)</f>
        <v>144</v>
      </c>
      <c r="K37" s="218">
        <f>I37+J37</f>
        <v>480</v>
      </c>
      <c r="L37" s="122"/>
      <c r="M37" s="121"/>
      <c r="N37" s="121"/>
      <c r="O37" s="121"/>
      <c r="P37" s="121"/>
      <c r="Q37" s="121"/>
      <c r="R37" s="121"/>
      <c r="S37" s="121"/>
      <c r="T37" s="121"/>
    </row>
    <row r="38" spans="1:20" s="15" customFormat="1" ht="15">
      <c r="A38" s="237"/>
      <c r="B38" s="238"/>
      <c r="C38" s="204" t="s">
        <v>10</v>
      </c>
      <c r="D38" s="219"/>
      <c r="E38" s="213"/>
      <c r="F38" s="213"/>
      <c r="G38" s="198"/>
      <c r="H38" s="198"/>
      <c r="I38" s="144">
        <f>SUM(I35:I37)</f>
        <v>5773.4</v>
      </c>
      <c r="J38" s="144">
        <f>SUM(J35:J37)</f>
        <v>2474.2</v>
      </c>
      <c r="K38" s="239">
        <f>SUM(K35:K37)</f>
        <v>8247.6</v>
      </c>
      <c r="L38" s="120"/>
      <c r="M38" s="119"/>
      <c r="N38" s="119"/>
      <c r="O38" s="119"/>
      <c r="P38" s="119"/>
      <c r="Q38" s="119"/>
      <c r="R38" s="119"/>
      <c r="S38" s="119"/>
      <c r="T38" s="119"/>
    </row>
    <row r="39" spans="1:20" s="15" customFormat="1" ht="12.75">
      <c r="A39" s="211" t="s">
        <v>15</v>
      </c>
      <c r="B39" s="203"/>
      <c r="C39" s="187" t="s">
        <v>155</v>
      </c>
      <c r="D39" s="219"/>
      <c r="E39" s="213"/>
      <c r="F39" s="213"/>
      <c r="G39" s="198"/>
      <c r="H39" s="198"/>
      <c r="I39" s="213"/>
      <c r="J39" s="213"/>
      <c r="K39" s="214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s="15" customFormat="1" ht="12.75">
      <c r="A40" s="224" t="s">
        <v>16</v>
      </c>
      <c r="B40" s="203" t="s">
        <v>81</v>
      </c>
      <c r="C40" s="194" t="s">
        <v>150</v>
      </c>
      <c r="D40" s="219" t="s">
        <v>11</v>
      </c>
      <c r="E40" s="213">
        <v>3.2</v>
      </c>
      <c r="F40" s="213">
        <v>61.27</v>
      </c>
      <c r="G40" s="198">
        <f t="shared" si="0"/>
        <v>53.61</v>
      </c>
      <c r="H40" s="198">
        <f t="shared" si="1"/>
        <v>22.98</v>
      </c>
      <c r="I40" s="198">
        <f>ROUND(E40*G40,2)</f>
        <v>171.55</v>
      </c>
      <c r="J40" s="198">
        <f>ROUND(E40*H40,2)</f>
        <v>73.54</v>
      </c>
      <c r="K40" s="218">
        <f>I40+J40</f>
        <v>245.09000000000003</v>
      </c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s="15" customFormat="1" ht="26.25">
      <c r="A41" s="224" t="s">
        <v>224</v>
      </c>
      <c r="B41" s="203" t="s">
        <v>169</v>
      </c>
      <c r="C41" s="241" t="s">
        <v>170</v>
      </c>
      <c r="D41" s="226" t="s">
        <v>9</v>
      </c>
      <c r="E41" s="227">
        <v>64</v>
      </c>
      <c r="F41" s="213">
        <v>50.83</v>
      </c>
      <c r="G41" s="198">
        <f t="shared" si="0"/>
        <v>44.48</v>
      </c>
      <c r="H41" s="198">
        <f t="shared" si="1"/>
        <v>19.06</v>
      </c>
      <c r="I41" s="198">
        <f>ROUND(E41*G41,2)</f>
        <v>2846.72</v>
      </c>
      <c r="J41" s="198">
        <f>ROUND(E41*H41,2)</f>
        <v>1219.84</v>
      </c>
      <c r="K41" s="218">
        <f>I41+J41</f>
        <v>4066.5599999999995</v>
      </c>
      <c r="L41" s="120"/>
      <c r="M41" s="120"/>
      <c r="N41" s="120"/>
      <c r="O41" s="119"/>
      <c r="P41" s="119"/>
      <c r="Q41" s="119"/>
      <c r="R41" s="119"/>
      <c r="S41" s="119"/>
      <c r="T41" s="119"/>
    </row>
    <row r="42" spans="1:20" s="15" customFormat="1" ht="15" customHeight="1">
      <c r="A42" s="224"/>
      <c r="B42" s="203"/>
      <c r="C42" s="204" t="s">
        <v>10</v>
      </c>
      <c r="D42" s="219"/>
      <c r="E42" s="213"/>
      <c r="F42" s="213"/>
      <c r="G42" s="198"/>
      <c r="H42" s="198"/>
      <c r="I42" s="205">
        <f>SUM(I40:I41)</f>
        <v>3018.27</v>
      </c>
      <c r="J42" s="205">
        <f>SUM(J40:J41)</f>
        <v>1293.3799999999999</v>
      </c>
      <c r="K42" s="206">
        <f>SUM(K40:K41)</f>
        <v>4311.65</v>
      </c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s="15" customFormat="1" ht="12.75">
      <c r="A43" s="211" t="s">
        <v>35</v>
      </c>
      <c r="B43" s="203"/>
      <c r="C43" s="187" t="s">
        <v>28</v>
      </c>
      <c r="D43" s="219"/>
      <c r="E43" s="213"/>
      <c r="F43" s="213"/>
      <c r="G43" s="198"/>
      <c r="H43" s="198"/>
      <c r="I43" s="213"/>
      <c r="J43" s="213"/>
      <c r="K43" s="214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s="15" customFormat="1" ht="12.75">
      <c r="A44" s="224" t="s">
        <v>36</v>
      </c>
      <c r="B44" s="203" t="s">
        <v>287</v>
      </c>
      <c r="C44" s="194" t="s">
        <v>51</v>
      </c>
      <c r="D44" s="219" t="s">
        <v>9</v>
      </c>
      <c r="E44" s="242">
        <v>90</v>
      </c>
      <c r="F44" s="213">
        <v>3</v>
      </c>
      <c r="G44" s="198">
        <f t="shared" si="0"/>
        <v>2.63</v>
      </c>
      <c r="H44" s="198">
        <f t="shared" si="1"/>
        <v>1.13</v>
      </c>
      <c r="I44" s="198">
        <f>ROUND(E44*G44,2)</f>
        <v>236.7</v>
      </c>
      <c r="J44" s="198">
        <f>ROUND(E44*H44,2)</f>
        <v>101.7</v>
      </c>
      <c r="K44" s="218">
        <f>I44+J44</f>
        <v>338.4</v>
      </c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s="15" customFormat="1" ht="12.75">
      <c r="A45" s="224" t="s">
        <v>109</v>
      </c>
      <c r="B45" s="203" t="s">
        <v>158</v>
      </c>
      <c r="C45" s="240" t="s">
        <v>156</v>
      </c>
      <c r="D45" s="219" t="s">
        <v>9</v>
      </c>
      <c r="E45" s="242">
        <v>90</v>
      </c>
      <c r="F45" s="213">
        <v>13.51</v>
      </c>
      <c r="G45" s="198">
        <f t="shared" si="0"/>
        <v>11.82</v>
      </c>
      <c r="H45" s="198">
        <f t="shared" si="1"/>
        <v>5.07</v>
      </c>
      <c r="I45" s="198">
        <f>ROUND(E45*G45,2)</f>
        <v>1063.8</v>
      </c>
      <c r="J45" s="198">
        <f>ROUND(E45*H45,2)</f>
        <v>456.3</v>
      </c>
      <c r="K45" s="218">
        <f>I45+J45</f>
        <v>1520.1</v>
      </c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s="15" customFormat="1" ht="12.75">
      <c r="A46" s="224" t="s">
        <v>37</v>
      </c>
      <c r="B46" s="203" t="s">
        <v>151</v>
      </c>
      <c r="C46" s="240" t="s">
        <v>157</v>
      </c>
      <c r="D46" s="219" t="s">
        <v>9</v>
      </c>
      <c r="E46" s="213">
        <v>90</v>
      </c>
      <c r="F46" s="213">
        <f>9.77</f>
        <v>9.77</v>
      </c>
      <c r="G46" s="198">
        <v>9.32</v>
      </c>
      <c r="H46" s="198">
        <f t="shared" si="1"/>
        <v>3.66</v>
      </c>
      <c r="I46" s="198">
        <f>ROUND(E46*G46,2)</f>
        <v>838.8</v>
      </c>
      <c r="J46" s="198">
        <f>ROUND(E46*H46,2)</f>
        <v>329.4</v>
      </c>
      <c r="K46" s="218">
        <f>I46+J46</f>
        <v>1168.1999999999998</v>
      </c>
      <c r="L46" s="120"/>
      <c r="M46" s="120"/>
      <c r="N46" s="120"/>
      <c r="O46" s="119"/>
      <c r="P46" s="119"/>
      <c r="Q46" s="119"/>
      <c r="R46" s="119"/>
      <c r="S46" s="119"/>
      <c r="T46" s="119"/>
    </row>
    <row r="47" spans="1:20" s="15" customFormat="1" ht="15">
      <c r="A47" s="224"/>
      <c r="B47" s="203"/>
      <c r="C47" s="204" t="s">
        <v>10</v>
      </c>
      <c r="D47" s="219"/>
      <c r="E47" s="213"/>
      <c r="F47" s="213"/>
      <c r="G47" s="198"/>
      <c r="H47" s="198"/>
      <c r="I47" s="205">
        <f>SUM(I44:I46)</f>
        <v>2139.3</v>
      </c>
      <c r="J47" s="205">
        <f>SUM(J44:J46)</f>
        <v>887.4</v>
      </c>
      <c r="K47" s="206">
        <f>SUM(K44:K46)</f>
        <v>3026.7</v>
      </c>
      <c r="L47" s="120"/>
      <c r="M47" s="119"/>
      <c r="N47" s="119"/>
      <c r="O47" s="119"/>
      <c r="P47" s="119"/>
      <c r="Q47" s="119"/>
      <c r="R47" s="119"/>
      <c r="S47" s="119"/>
      <c r="T47" s="119"/>
    </row>
    <row r="48" spans="1:20" s="15" customFormat="1" ht="12.75">
      <c r="A48" s="145" t="s">
        <v>38</v>
      </c>
      <c r="B48" s="140"/>
      <c r="C48" s="99" t="s">
        <v>92</v>
      </c>
      <c r="D48" s="4"/>
      <c r="E48" s="6"/>
      <c r="F48" s="6"/>
      <c r="G48" s="198"/>
      <c r="H48" s="198"/>
      <c r="I48" s="6"/>
      <c r="J48" s="6"/>
      <c r="K48" s="138"/>
      <c r="L48" s="120"/>
      <c r="M48" s="119"/>
      <c r="N48" s="119"/>
      <c r="O48" s="119"/>
      <c r="P48" s="119"/>
      <c r="Q48" s="119"/>
      <c r="R48" s="119"/>
      <c r="S48" s="119"/>
      <c r="T48" s="119"/>
    </row>
    <row r="49" spans="1:20" s="15" customFormat="1" ht="26.25">
      <c r="A49" s="224" t="s">
        <v>112</v>
      </c>
      <c r="B49" s="203" t="s">
        <v>171</v>
      </c>
      <c r="C49" s="194" t="s">
        <v>172</v>
      </c>
      <c r="D49" s="219" t="s">
        <v>9</v>
      </c>
      <c r="E49" s="213">
        <v>1</v>
      </c>
      <c r="F49" s="213">
        <v>150.01</v>
      </c>
      <c r="G49" s="198">
        <f t="shared" si="0"/>
        <v>131.26</v>
      </c>
      <c r="H49" s="198">
        <f t="shared" si="1"/>
        <v>56.25</v>
      </c>
      <c r="I49" s="213">
        <f>ROUND(E49*G49,2)</f>
        <v>131.26</v>
      </c>
      <c r="J49" s="213">
        <f>ROUND(E49*H49,2)</f>
        <v>56.25</v>
      </c>
      <c r="K49" s="214">
        <f>I49+J49</f>
        <v>187.51</v>
      </c>
      <c r="L49" s="120"/>
      <c r="M49" s="119"/>
      <c r="N49" s="119"/>
      <c r="O49" s="119"/>
      <c r="P49" s="119"/>
      <c r="Q49" s="119"/>
      <c r="R49" s="119"/>
      <c r="S49" s="119"/>
      <c r="T49" s="119"/>
    </row>
    <row r="50" spans="1:20" s="15" customFormat="1" ht="26.25">
      <c r="A50" s="224" t="s">
        <v>72</v>
      </c>
      <c r="B50" s="203" t="s">
        <v>295</v>
      </c>
      <c r="C50" s="309" t="s">
        <v>296</v>
      </c>
      <c r="D50" s="219" t="s">
        <v>9</v>
      </c>
      <c r="E50" s="213">
        <v>1.89</v>
      </c>
      <c r="F50" s="213">
        <v>273.74</v>
      </c>
      <c r="G50" s="198">
        <f t="shared" si="0"/>
        <v>239.52</v>
      </c>
      <c r="H50" s="198">
        <f t="shared" si="1"/>
        <v>102.65</v>
      </c>
      <c r="I50" s="213">
        <f>ROUND(E50*G50,2)</f>
        <v>452.69</v>
      </c>
      <c r="J50" s="213">
        <f>ROUND(E50*H50,2)</f>
        <v>194.01</v>
      </c>
      <c r="K50" s="214">
        <f>I50+J50</f>
        <v>646.7</v>
      </c>
      <c r="L50" s="120"/>
      <c r="M50" s="119"/>
      <c r="N50" s="119"/>
      <c r="O50" s="119"/>
      <c r="P50" s="119"/>
      <c r="Q50" s="119"/>
      <c r="R50" s="119"/>
      <c r="S50" s="119"/>
      <c r="T50" s="119"/>
    </row>
    <row r="51" spans="1:20" s="15" customFormat="1" ht="12.75">
      <c r="A51" s="224" t="s">
        <v>210</v>
      </c>
      <c r="B51" s="203" t="s">
        <v>142</v>
      </c>
      <c r="C51" s="194" t="s">
        <v>117</v>
      </c>
      <c r="D51" s="219" t="s">
        <v>9</v>
      </c>
      <c r="E51" s="213">
        <v>1.5</v>
      </c>
      <c r="F51" s="213">
        <v>71.42</v>
      </c>
      <c r="G51" s="198">
        <f t="shared" si="0"/>
        <v>62.49</v>
      </c>
      <c r="H51" s="198">
        <f t="shared" si="1"/>
        <v>26.78</v>
      </c>
      <c r="I51" s="198">
        <f>ROUND(E51*G51,2)</f>
        <v>93.74</v>
      </c>
      <c r="J51" s="198">
        <f>ROUND(E51*H51,2)</f>
        <v>40.17</v>
      </c>
      <c r="K51" s="199">
        <f>I51+J51</f>
        <v>133.91</v>
      </c>
      <c r="L51" s="120"/>
      <c r="M51" s="120"/>
      <c r="N51" s="120"/>
      <c r="O51" s="119"/>
      <c r="P51" s="119"/>
      <c r="Q51" s="119"/>
      <c r="R51" s="119"/>
      <c r="S51" s="119"/>
      <c r="T51" s="119"/>
    </row>
    <row r="52" spans="1:20" s="15" customFormat="1" ht="12.75">
      <c r="A52" s="224" t="s">
        <v>211</v>
      </c>
      <c r="B52" s="203" t="s">
        <v>249</v>
      </c>
      <c r="C52" s="200" t="s">
        <v>248</v>
      </c>
      <c r="D52" s="219" t="s">
        <v>9</v>
      </c>
      <c r="E52" s="213">
        <v>2</v>
      </c>
      <c r="F52" s="213">
        <v>123</v>
      </c>
      <c r="G52" s="198">
        <f t="shared" si="0"/>
        <v>107.63</v>
      </c>
      <c r="H52" s="198">
        <f t="shared" si="1"/>
        <v>46.13</v>
      </c>
      <c r="I52" s="213">
        <f>ROUND(E52*G52,2)</f>
        <v>215.26</v>
      </c>
      <c r="J52" s="213">
        <f>ROUND(E52*H52,2)</f>
        <v>92.26</v>
      </c>
      <c r="K52" s="214">
        <f>I52+J52</f>
        <v>307.52</v>
      </c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s="15" customFormat="1" ht="12.75">
      <c r="A53" s="224" t="s">
        <v>309</v>
      </c>
      <c r="B53" s="203" t="s">
        <v>289</v>
      </c>
      <c r="C53" s="200" t="s">
        <v>276</v>
      </c>
      <c r="D53" s="219" t="s">
        <v>9</v>
      </c>
      <c r="E53" s="213">
        <v>44.4</v>
      </c>
      <c r="F53" s="213">
        <v>196.07</v>
      </c>
      <c r="G53" s="198">
        <f t="shared" si="0"/>
        <v>171.56</v>
      </c>
      <c r="H53" s="198">
        <f t="shared" si="1"/>
        <v>73.53</v>
      </c>
      <c r="I53" s="213">
        <f>ROUND(E53*G53,2)</f>
        <v>7617.26</v>
      </c>
      <c r="J53" s="213">
        <f>ROUND(E53*H53,2)</f>
        <v>3264.73</v>
      </c>
      <c r="K53" s="214">
        <f>I53+J53</f>
        <v>10881.99</v>
      </c>
      <c r="L53" s="119"/>
      <c r="M53" s="119">
        <f>37*1.2</f>
        <v>44.4</v>
      </c>
      <c r="N53" s="119"/>
      <c r="O53" s="119"/>
      <c r="P53" s="119"/>
      <c r="Q53" s="119"/>
      <c r="R53" s="119"/>
      <c r="S53" s="119"/>
      <c r="T53" s="119"/>
    </row>
    <row r="54" spans="1:20" s="15" customFormat="1" ht="15">
      <c r="A54" s="224"/>
      <c r="B54" s="203"/>
      <c r="C54" s="204" t="s">
        <v>10</v>
      </c>
      <c r="D54" s="219"/>
      <c r="E54" s="213"/>
      <c r="F54" s="213"/>
      <c r="G54" s="198"/>
      <c r="H54" s="198"/>
      <c r="I54" s="205">
        <f>SUM(I49:I53)</f>
        <v>8510.210000000001</v>
      </c>
      <c r="J54" s="205">
        <f>SUM(J49:J53)</f>
        <v>3647.42</v>
      </c>
      <c r="K54" s="206">
        <f>SUM(K49:K53)</f>
        <v>12157.63</v>
      </c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s="15" customFormat="1" ht="12.75">
      <c r="A55" s="145" t="s">
        <v>17</v>
      </c>
      <c r="B55" s="141"/>
      <c r="C55" s="99" t="s">
        <v>245</v>
      </c>
      <c r="D55" s="4"/>
      <c r="E55" s="6"/>
      <c r="F55" s="6"/>
      <c r="G55" s="198"/>
      <c r="H55" s="198"/>
      <c r="I55" s="6"/>
      <c r="J55" s="6"/>
      <c r="K55" s="138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s="15" customFormat="1" ht="12.75">
      <c r="A56" s="224" t="s">
        <v>39</v>
      </c>
      <c r="B56" s="203" t="s">
        <v>128</v>
      </c>
      <c r="C56" s="244" t="s">
        <v>120</v>
      </c>
      <c r="D56" s="219" t="s">
        <v>14</v>
      </c>
      <c r="E56" s="213">
        <v>75</v>
      </c>
      <c r="F56" s="213">
        <v>10.86</v>
      </c>
      <c r="G56" s="198">
        <f t="shared" si="0"/>
        <v>9.5</v>
      </c>
      <c r="H56" s="198">
        <f t="shared" si="1"/>
        <v>4.07</v>
      </c>
      <c r="I56" s="198">
        <f>ROUND(E56*G56,2)</f>
        <v>712.5</v>
      </c>
      <c r="J56" s="198">
        <f>ROUND(E56*H56,2)</f>
        <v>305.25</v>
      </c>
      <c r="K56" s="218">
        <f>I56+J56</f>
        <v>1017.75</v>
      </c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s="97" customFormat="1" ht="30" customHeight="1">
      <c r="A57" s="224" t="s">
        <v>76</v>
      </c>
      <c r="B57" s="243" t="s">
        <v>141</v>
      </c>
      <c r="C57" s="240" t="s">
        <v>161</v>
      </c>
      <c r="D57" s="245" t="s">
        <v>41</v>
      </c>
      <c r="E57" s="246">
        <v>2</v>
      </c>
      <c r="F57" s="246">
        <f>57</f>
        <v>57</v>
      </c>
      <c r="G57" s="198">
        <f t="shared" si="0"/>
        <v>49.88</v>
      </c>
      <c r="H57" s="198">
        <f t="shared" si="1"/>
        <v>21.38</v>
      </c>
      <c r="I57" s="198">
        <f>ROUND(E57*G57,2)</f>
        <v>99.76</v>
      </c>
      <c r="J57" s="198">
        <f>ROUND(E57*H57,2)</f>
        <v>42.76</v>
      </c>
      <c r="K57" s="218">
        <f>I57+J57</f>
        <v>142.52</v>
      </c>
      <c r="L57" s="123"/>
      <c r="M57" s="123"/>
      <c r="N57" s="123"/>
      <c r="O57" s="123"/>
      <c r="P57" s="123"/>
      <c r="Q57" s="123"/>
      <c r="R57" s="123"/>
      <c r="S57" s="123"/>
      <c r="T57" s="123"/>
    </row>
    <row r="58" spans="1:20" s="15" customFormat="1" ht="12.75">
      <c r="A58" s="224" t="s">
        <v>110</v>
      </c>
      <c r="B58" s="247" t="s">
        <v>53</v>
      </c>
      <c r="C58" s="194" t="s">
        <v>159</v>
      </c>
      <c r="D58" s="219" t="s">
        <v>11</v>
      </c>
      <c r="E58" s="213">
        <v>3</v>
      </c>
      <c r="F58" s="213">
        <v>17.14</v>
      </c>
      <c r="G58" s="198">
        <f t="shared" si="0"/>
        <v>15</v>
      </c>
      <c r="H58" s="198">
        <f t="shared" si="1"/>
        <v>6.43</v>
      </c>
      <c r="I58" s="198">
        <f>ROUND(E58*G58,2)</f>
        <v>45</v>
      </c>
      <c r="J58" s="198">
        <f>ROUND(E58*H58,2)</f>
        <v>19.29</v>
      </c>
      <c r="K58" s="218">
        <f>I58+J58</f>
        <v>64.28999999999999</v>
      </c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s="15" customFormat="1" ht="12.75">
      <c r="A59" s="224" t="s">
        <v>111</v>
      </c>
      <c r="B59" s="203" t="s">
        <v>53</v>
      </c>
      <c r="C59" s="244" t="s">
        <v>160</v>
      </c>
      <c r="D59" s="219" t="s">
        <v>11</v>
      </c>
      <c r="E59" s="213">
        <v>7</v>
      </c>
      <c r="F59" s="213">
        <v>17.14</v>
      </c>
      <c r="G59" s="198">
        <f t="shared" si="0"/>
        <v>15</v>
      </c>
      <c r="H59" s="198">
        <f t="shared" si="1"/>
        <v>6.43</v>
      </c>
      <c r="I59" s="198">
        <f>ROUND(E59*G59,2)</f>
        <v>105</v>
      </c>
      <c r="J59" s="198">
        <f>ROUND(E59*H59,2)</f>
        <v>45.01</v>
      </c>
      <c r="K59" s="218">
        <f>I59+J59</f>
        <v>150.01</v>
      </c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s="15" customFormat="1" ht="12.75">
      <c r="A60" s="224" t="s">
        <v>113</v>
      </c>
      <c r="B60" s="248" t="s">
        <v>130</v>
      </c>
      <c r="C60" s="249" t="s">
        <v>129</v>
      </c>
      <c r="D60" s="219" t="s">
        <v>41</v>
      </c>
      <c r="E60" s="213">
        <v>1</v>
      </c>
      <c r="F60" s="213">
        <v>35.12</v>
      </c>
      <c r="G60" s="198">
        <f t="shared" si="0"/>
        <v>30.73</v>
      </c>
      <c r="H60" s="198">
        <f t="shared" si="1"/>
        <v>13.17</v>
      </c>
      <c r="I60" s="198">
        <f>ROUND(E60*G60,2)</f>
        <v>30.73</v>
      </c>
      <c r="J60" s="198">
        <f>ROUND(E60*H60,2)</f>
        <v>13.17</v>
      </c>
      <c r="K60" s="218">
        <f>I60+J60</f>
        <v>43.9</v>
      </c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s="15" customFormat="1" ht="15">
      <c r="A61" s="224"/>
      <c r="B61" s="203"/>
      <c r="C61" s="204" t="s">
        <v>10</v>
      </c>
      <c r="D61" s="219"/>
      <c r="E61" s="213"/>
      <c r="F61" s="213"/>
      <c r="G61" s="198"/>
      <c r="H61" s="198"/>
      <c r="I61" s="144">
        <f>SUM(I56:I60)</f>
        <v>992.99</v>
      </c>
      <c r="J61" s="144">
        <f>SUM(J56:J60)</f>
        <v>425.48</v>
      </c>
      <c r="K61" s="239">
        <f>SUM(K56:K60)</f>
        <v>1418.47</v>
      </c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s="15" customFormat="1" ht="12.75">
      <c r="A62" s="145" t="s">
        <v>19</v>
      </c>
      <c r="B62" s="141"/>
      <c r="C62" s="99" t="s">
        <v>23</v>
      </c>
      <c r="D62" s="4"/>
      <c r="E62" s="6"/>
      <c r="F62" s="6"/>
      <c r="G62" s="198"/>
      <c r="H62" s="198"/>
      <c r="I62" s="6"/>
      <c r="J62" s="6"/>
      <c r="K62" s="138"/>
      <c r="L62" s="119"/>
      <c r="M62" s="119"/>
      <c r="N62" s="119"/>
      <c r="O62" s="111"/>
      <c r="P62" s="112"/>
      <c r="Q62" s="113"/>
      <c r="R62" s="114"/>
      <c r="S62" s="119"/>
      <c r="T62" s="119"/>
    </row>
    <row r="63" spans="1:20" s="90" customFormat="1" ht="26.25">
      <c r="A63" s="149" t="s">
        <v>212</v>
      </c>
      <c r="B63" s="294" t="s">
        <v>290</v>
      </c>
      <c r="C63" s="298" t="s">
        <v>198</v>
      </c>
      <c r="D63" s="150" t="s">
        <v>4</v>
      </c>
      <c r="E63" s="295">
        <v>1</v>
      </c>
      <c r="F63" s="156">
        <v>213.05</v>
      </c>
      <c r="G63" s="198">
        <f t="shared" si="0"/>
        <v>186.42</v>
      </c>
      <c r="H63" s="198">
        <f t="shared" si="1"/>
        <v>79.89</v>
      </c>
      <c r="I63" s="198">
        <f aca="true" t="shared" si="2" ref="I63:I70">ROUND(E63*G63,2)</f>
        <v>186.42</v>
      </c>
      <c r="J63" s="198">
        <f aca="true" t="shared" si="3" ref="J63:J70">ROUND(E63*H63,2)</f>
        <v>79.89</v>
      </c>
      <c r="K63" s="199">
        <f aca="true" t="shared" si="4" ref="K63:K70">I63+J63</f>
        <v>266.31</v>
      </c>
      <c r="L63" s="126"/>
      <c r="M63" s="126"/>
      <c r="N63" s="126"/>
      <c r="O63" s="91"/>
      <c r="P63" s="92"/>
      <c r="Q63" s="93"/>
      <c r="R63" s="94"/>
      <c r="S63" s="124"/>
      <c r="T63" s="124"/>
    </row>
    <row r="64" spans="1:20" s="90" customFormat="1" ht="26.25">
      <c r="A64" s="149" t="s">
        <v>213</v>
      </c>
      <c r="B64" s="296" t="s">
        <v>188</v>
      </c>
      <c r="C64" s="217" t="s">
        <v>189</v>
      </c>
      <c r="D64" s="150" t="s">
        <v>190</v>
      </c>
      <c r="E64" s="151">
        <v>1</v>
      </c>
      <c r="F64" s="152">
        <v>49.99</v>
      </c>
      <c r="G64" s="198">
        <f t="shared" si="0"/>
        <v>43.74</v>
      </c>
      <c r="H64" s="198">
        <f t="shared" si="1"/>
        <v>18.75</v>
      </c>
      <c r="I64" s="198">
        <f t="shared" si="2"/>
        <v>43.74</v>
      </c>
      <c r="J64" s="198">
        <f t="shared" si="3"/>
        <v>18.75</v>
      </c>
      <c r="K64" s="199">
        <f t="shared" si="4"/>
        <v>62.49</v>
      </c>
      <c r="L64" s="126"/>
      <c r="M64" s="126"/>
      <c r="N64" s="126"/>
      <c r="O64" s="91"/>
      <c r="P64" s="92"/>
      <c r="Q64" s="93"/>
      <c r="R64" s="94"/>
      <c r="S64" s="124"/>
      <c r="T64" s="124"/>
    </row>
    <row r="65" spans="1:20" s="90" customFormat="1" ht="25.5" customHeight="1">
      <c r="A65" s="149" t="s">
        <v>214</v>
      </c>
      <c r="B65" s="296" t="s">
        <v>191</v>
      </c>
      <c r="C65" s="299" t="s">
        <v>192</v>
      </c>
      <c r="D65" s="150" t="s">
        <v>190</v>
      </c>
      <c r="E65" s="151">
        <v>2</v>
      </c>
      <c r="F65" s="152">
        <v>9.45</v>
      </c>
      <c r="G65" s="198">
        <f t="shared" si="0"/>
        <v>8.27</v>
      </c>
      <c r="H65" s="198">
        <f t="shared" si="1"/>
        <v>3.54</v>
      </c>
      <c r="I65" s="198">
        <f t="shared" si="2"/>
        <v>16.54</v>
      </c>
      <c r="J65" s="198">
        <f t="shared" si="3"/>
        <v>7.08</v>
      </c>
      <c r="K65" s="199">
        <f t="shared" si="4"/>
        <v>23.619999999999997</v>
      </c>
      <c r="L65" s="126"/>
      <c r="M65" s="126"/>
      <c r="N65" s="126"/>
      <c r="O65" s="91"/>
      <c r="P65" s="92"/>
      <c r="Q65" s="93"/>
      <c r="R65" s="94"/>
      <c r="S65" s="124"/>
      <c r="T65" s="124"/>
    </row>
    <row r="66" spans="1:20" s="90" customFormat="1" ht="18.75" customHeight="1">
      <c r="A66" s="149" t="s">
        <v>215</v>
      </c>
      <c r="B66" s="296">
        <v>72936</v>
      </c>
      <c r="C66" s="217" t="s">
        <v>193</v>
      </c>
      <c r="D66" s="150" t="s">
        <v>14</v>
      </c>
      <c r="E66" s="151">
        <v>50</v>
      </c>
      <c r="F66" s="152">
        <v>5.87</v>
      </c>
      <c r="G66" s="198">
        <f t="shared" si="0"/>
        <v>5.14</v>
      </c>
      <c r="H66" s="198">
        <f t="shared" si="1"/>
        <v>2.2</v>
      </c>
      <c r="I66" s="198">
        <f t="shared" si="2"/>
        <v>257</v>
      </c>
      <c r="J66" s="198">
        <f t="shared" si="3"/>
        <v>110</v>
      </c>
      <c r="K66" s="199">
        <f t="shared" si="4"/>
        <v>367</v>
      </c>
      <c r="L66" s="126"/>
      <c r="M66" s="126"/>
      <c r="N66" s="126"/>
      <c r="O66" s="91"/>
      <c r="P66" s="92"/>
      <c r="Q66" s="93"/>
      <c r="R66" s="94"/>
      <c r="S66" s="124"/>
      <c r="T66" s="124"/>
    </row>
    <row r="67" spans="1:20" s="90" customFormat="1" ht="26.25">
      <c r="A67" s="149" t="s">
        <v>216</v>
      </c>
      <c r="B67" s="294">
        <v>72249</v>
      </c>
      <c r="C67" s="300" t="s">
        <v>195</v>
      </c>
      <c r="D67" s="150" t="s">
        <v>14</v>
      </c>
      <c r="E67" s="151">
        <v>150</v>
      </c>
      <c r="F67" s="155">
        <v>4.37</v>
      </c>
      <c r="G67" s="198">
        <f t="shared" si="0"/>
        <v>3.82</v>
      </c>
      <c r="H67" s="198">
        <f t="shared" si="1"/>
        <v>1.64</v>
      </c>
      <c r="I67" s="198">
        <f t="shared" si="2"/>
        <v>573</v>
      </c>
      <c r="J67" s="198">
        <f t="shared" si="3"/>
        <v>246</v>
      </c>
      <c r="K67" s="199">
        <f t="shared" si="4"/>
        <v>819</v>
      </c>
      <c r="L67" s="126"/>
      <c r="M67" s="126"/>
      <c r="N67" s="126"/>
      <c r="O67" s="91"/>
      <c r="P67" s="92"/>
      <c r="Q67" s="93"/>
      <c r="R67" s="94"/>
      <c r="S67" s="124"/>
      <c r="T67" s="124"/>
    </row>
    <row r="68" spans="1:20" s="90" customFormat="1" ht="25.5" customHeight="1">
      <c r="A68" s="149" t="s">
        <v>217</v>
      </c>
      <c r="B68" s="294" t="s">
        <v>291</v>
      </c>
      <c r="C68" s="217" t="s">
        <v>197</v>
      </c>
      <c r="D68" s="150" t="s">
        <v>4</v>
      </c>
      <c r="E68" s="151">
        <v>3</v>
      </c>
      <c r="F68" s="155">
        <v>4</v>
      </c>
      <c r="G68" s="198">
        <f t="shared" si="0"/>
        <v>3.5</v>
      </c>
      <c r="H68" s="198">
        <f t="shared" si="1"/>
        <v>1.5</v>
      </c>
      <c r="I68" s="198">
        <f t="shared" si="2"/>
        <v>10.5</v>
      </c>
      <c r="J68" s="198">
        <f t="shared" si="3"/>
        <v>4.5</v>
      </c>
      <c r="K68" s="199">
        <f t="shared" si="4"/>
        <v>15</v>
      </c>
      <c r="L68" s="126"/>
      <c r="M68" s="126"/>
      <c r="N68" s="126"/>
      <c r="O68" s="91"/>
      <c r="P68" s="92"/>
      <c r="Q68" s="93"/>
      <c r="R68" s="94"/>
      <c r="S68" s="124"/>
      <c r="T68" s="124"/>
    </row>
    <row r="69" spans="1:20" s="90" customFormat="1" ht="18.75" customHeight="1">
      <c r="A69" s="149" t="s">
        <v>218</v>
      </c>
      <c r="B69" s="297">
        <v>83466</v>
      </c>
      <c r="C69" s="217" t="s">
        <v>205</v>
      </c>
      <c r="D69" s="150" t="s">
        <v>4</v>
      </c>
      <c r="E69" s="151">
        <v>2</v>
      </c>
      <c r="F69" s="155">
        <v>14.97</v>
      </c>
      <c r="G69" s="198">
        <f t="shared" si="0"/>
        <v>13.1</v>
      </c>
      <c r="H69" s="198">
        <f t="shared" si="1"/>
        <v>5.61</v>
      </c>
      <c r="I69" s="198">
        <f t="shared" si="2"/>
        <v>26.2</v>
      </c>
      <c r="J69" s="198">
        <f t="shared" si="3"/>
        <v>11.22</v>
      </c>
      <c r="K69" s="199">
        <f t="shared" si="4"/>
        <v>37.42</v>
      </c>
      <c r="L69" s="126"/>
      <c r="M69" s="126"/>
      <c r="N69" s="126"/>
      <c r="O69" s="91"/>
      <c r="P69" s="92"/>
      <c r="Q69" s="93"/>
      <c r="R69" s="94"/>
      <c r="S69" s="124"/>
      <c r="T69" s="124"/>
    </row>
    <row r="70" spans="1:20" s="90" customFormat="1" ht="39">
      <c r="A70" s="149" t="s">
        <v>219</v>
      </c>
      <c r="B70" s="297" t="s">
        <v>206</v>
      </c>
      <c r="C70" s="217" t="s">
        <v>207</v>
      </c>
      <c r="D70" s="150" t="s">
        <v>4</v>
      </c>
      <c r="E70" s="151">
        <v>4</v>
      </c>
      <c r="F70" s="155">
        <v>76.81</v>
      </c>
      <c r="G70" s="198">
        <f t="shared" si="0"/>
        <v>67.21</v>
      </c>
      <c r="H70" s="198">
        <f t="shared" si="1"/>
        <v>28.8</v>
      </c>
      <c r="I70" s="198">
        <f t="shared" si="2"/>
        <v>268.84</v>
      </c>
      <c r="J70" s="198">
        <f t="shared" si="3"/>
        <v>115.2</v>
      </c>
      <c r="K70" s="199">
        <f t="shared" si="4"/>
        <v>384.03999999999996</v>
      </c>
      <c r="L70" s="126"/>
      <c r="M70" s="126"/>
      <c r="N70" s="126"/>
      <c r="O70" s="91"/>
      <c r="P70" s="92"/>
      <c r="Q70" s="93"/>
      <c r="R70" s="94"/>
      <c r="S70" s="124"/>
      <c r="T70" s="124"/>
    </row>
    <row r="71" spans="1:20" s="15" customFormat="1" ht="15">
      <c r="A71" s="211"/>
      <c r="B71" s="250"/>
      <c r="C71" s="204" t="s">
        <v>10</v>
      </c>
      <c r="D71" s="219"/>
      <c r="E71" s="213"/>
      <c r="F71" s="213"/>
      <c r="G71" s="198"/>
      <c r="H71" s="198"/>
      <c r="I71" s="239">
        <f>SUM(I63:I70)</f>
        <v>1382.24</v>
      </c>
      <c r="J71" s="239">
        <f>SUM(J63:J70)</f>
        <v>592.6400000000001</v>
      </c>
      <c r="K71" s="239">
        <f>SUM(K63:K70)</f>
        <v>1974.88</v>
      </c>
      <c r="L71" s="119"/>
      <c r="M71" s="119"/>
      <c r="N71" s="119"/>
      <c r="O71" s="111"/>
      <c r="P71" s="112"/>
      <c r="Q71" s="113"/>
      <c r="R71" s="114"/>
      <c r="S71" s="119"/>
      <c r="T71" s="119"/>
    </row>
    <row r="72" spans="1:20" s="68" customFormat="1" ht="12.75">
      <c r="A72" s="211" t="s">
        <v>20</v>
      </c>
      <c r="B72" s="250"/>
      <c r="C72" s="187" t="s">
        <v>18</v>
      </c>
      <c r="D72" s="219"/>
      <c r="E72" s="213"/>
      <c r="F72" s="213"/>
      <c r="G72" s="198"/>
      <c r="H72" s="198"/>
      <c r="I72" s="213"/>
      <c r="J72" s="213"/>
      <c r="K72" s="214"/>
      <c r="L72" s="119"/>
      <c r="M72" s="120"/>
      <c r="N72" s="119"/>
      <c r="O72" s="111"/>
      <c r="P72" s="112"/>
      <c r="Q72" s="113"/>
      <c r="R72" s="114"/>
      <c r="S72" s="125"/>
      <c r="T72" s="125"/>
    </row>
    <row r="73" spans="1:20" s="15" customFormat="1" ht="12.75">
      <c r="A73" s="224" t="s">
        <v>33</v>
      </c>
      <c r="B73" s="251" t="s">
        <v>82</v>
      </c>
      <c r="C73" s="200" t="s">
        <v>49</v>
      </c>
      <c r="D73" s="219" t="s">
        <v>9</v>
      </c>
      <c r="E73" s="213">
        <v>90</v>
      </c>
      <c r="F73" s="213">
        <v>2.03</v>
      </c>
      <c r="G73" s="198">
        <f t="shared" si="0"/>
        <v>1.78</v>
      </c>
      <c r="H73" s="198">
        <f t="shared" si="1"/>
        <v>0.76</v>
      </c>
      <c r="I73" s="246">
        <f>ROUND(E73*G73,2)</f>
        <v>160.2</v>
      </c>
      <c r="J73" s="246">
        <f>ROUND(E73*H73,2)</f>
        <v>68.4</v>
      </c>
      <c r="K73" s="214">
        <f>I73+J73</f>
        <v>228.6</v>
      </c>
      <c r="L73" s="119"/>
      <c r="M73" s="119"/>
      <c r="N73" s="119"/>
      <c r="O73" s="111"/>
      <c r="P73" s="112"/>
      <c r="Q73" s="113"/>
      <c r="R73" s="114"/>
      <c r="S73" s="119"/>
      <c r="T73" s="119"/>
    </row>
    <row r="74" spans="1:20" s="15" customFormat="1" ht="12.75" customHeight="1">
      <c r="A74" s="224" t="s">
        <v>105</v>
      </c>
      <c r="B74" s="251" t="s">
        <v>83</v>
      </c>
      <c r="C74" s="194" t="s">
        <v>50</v>
      </c>
      <c r="D74" s="219" t="s">
        <v>9</v>
      </c>
      <c r="E74" s="213">
        <f>E73</f>
        <v>90</v>
      </c>
      <c r="F74" s="213">
        <v>6.35</v>
      </c>
      <c r="G74" s="198">
        <f>ROUND(F74*0.7*1.25,2)</f>
        <v>5.56</v>
      </c>
      <c r="H74" s="198">
        <f>ROUND(F74*0.3*1.25,2)</f>
        <v>2.38</v>
      </c>
      <c r="I74" s="246">
        <f>ROUND(E74*G74,2)</f>
        <v>500.4</v>
      </c>
      <c r="J74" s="246">
        <f>ROUND(E74*H74,2)</f>
        <v>214.2</v>
      </c>
      <c r="K74" s="214">
        <f>I74+J74</f>
        <v>714.5999999999999</v>
      </c>
      <c r="L74" s="119"/>
      <c r="M74" s="119"/>
      <c r="N74" s="119"/>
      <c r="O74" s="74"/>
      <c r="P74" s="75"/>
      <c r="Q74" s="76"/>
      <c r="R74" s="77"/>
      <c r="S74" s="119"/>
      <c r="T74" s="119"/>
    </row>
    <row r="75" spans="1:20" s="15" customFormat="1" ht="13.5" customHeight="1">
      <c r="A75" s="224" t="s">
        <v>106</v>
      </c>
      <c r="B75" s="251" t="s">
        <v>131</v>
      </c>
      <c r="C75" s="252" t="s">
        <v>132</v>
      </c>
      <c r="D75" s="219" t="s">
        <v>9</v>
      </c>
      <c r="E75" s="213">
        <v>20</v>
      </c>
      <c r="F75" s="213">
        <v>10.98</v>
      </c>
      <c r="G75" s="198">
        <f>ROUND(F75*0.7*1.25,2)</f>
        <v>9.61</v>
      </c>
      <c r="H75" s="198">
        <f>ROUND(F75*0.3*1.25,2)</f>
        <v>4.12</v>
      </c>
      <c r="I75" s="246">
        <f>ROUND(E75*G75,2)</f>
        <v>192.2</v>
      </c>
      <c r="J75" s="246">
        <f>ROUND(E75*H75,2)</f>
        <v>82.4</v>
      </c>
      <c r="K75" s="214">
        <f>I75+J75</f>
        <v>274.6</v>
      </c>
      <c r="L75" s="119"/>
      <c r="M75" s="119"/>
      <c r="N75" s="119"/>
      <c r="O75" s="74"/>
      <c r="P75" s="75"/>
      <c r="Q75" s="76"/>
      <c r="R75" s="77"/>
      <c r="S75" s="119"/>
      <c r="T75" s="119"/>
    </row>
    <row r="76" spans="1:20" s="15" customFormat="1" ht="26.25">
      <c r="A76" s="224" t="s">
        <v>107</v>
      </c>
      <c r="B76" s="235">
        <v>6067</v>
      </c>
      <c r="C76" s="194" t="s">
        <v>89</v>
      </c>
      <c r="D76" s="219" t="s">
        <v>9</v>
      </c>
      <c r="E76" s="213">
        <v>20</v>
      </c>
      <c r="F76" s="213">
        <v>17.64</v>
      </c>
      <c r="G76" s="198">
        <f>ROUND(F76*0.7*1.25,2)</f>
        <v>15.44</v>
      </c>
      <c r="H76" s="198">
        <f>ROUND(F76*0.3*1.25,2)</f>
        <v>6.62</v>
      </c>
      <c r="I76" s="246">
        <f>ROUND(E76*G76,2)</f>
        <v>308.8</v>
      </c>
      <c r="J76" s="246">
        <f>ROUND(E76*H76,2)</f>
        <v>132.4</v>
      </c>
      <c r="K76" s="214">
        <f>I76+J76</f>
        <v>441.20000000000005</v>
      </c>
      <c r="L76" s="120"/>
      <c r="M76" s="120"/>
      <c r="N76" s="120"/>
      <c r="O76" s="74"/>
      <c r="P76" s="75"/>
      <c r="Q76" s="76"/>
      <c r="R76" s="77"/>
      <c r="S76" s="119"/>
      <c r="T76" s="119"/>
    </row>
    <row r="77" spans="1:20" s="15" customFormat="1" ht="15">
      <c r="A77" s="224"/>
      <c r="B77" s="203"/>
      <c r="C77" s="204" t="s">
        <v>10</v>
      </c>
      <c r="D77" s="253"/>
      <c r="E77" s="254"/>
      <c r="F77" s="254"/>
      <c r="G77" s="198"/>
      <c r="H77" s="198"/>
      <c r="I77" s="205">
        <f>SUM(I73:I76)</f>
        <v>1161.6</v>
      </c>
      <c r="J77" s="205">
        <f>SUM(J73:J76)</f>
        <v>497.4</v>
      </c>
      <c r="K77" s="206">
        <f>SUM(K73:K76)</f>
        <v>1659</v>
      </c>
      <c r="L77" s="119"/>
      <c r="M77" s="119"/>
      <c r="N77" s="119"/>
      <c r="O77" s="74"/>
      <c r="P77" s="75"/>
      <c r="Q77" s="76"/>
      <c r="R77" s="77"/>
      <c r="S77" s="119"/>
      <c r="T77" s="119"/>
    </row>
    <row r="78" spans="1:20" s="68" customFormat="1" ht="15" customHeight="1">
      <c r="A78" s="211" t="s">
        <v>79</v>
      </c>
      <c r="B78" s="250"/>
      <c r="C78" s="187" t="s">
        <v>140</v>
      </c>
      <c r="D78" s="219"/>
      <c r="E78" s="213"/>
      <c r="F78" s="213"/>
      <c r="G78" s="198"/>
      <c r="H78" s="198"/>
      <c r="I78" s="213"/>
      <c r="J78" s="213"/>
      <c r="K78" s="214"/>
      <c r="L78" s="119"/>
      <c r="M78" s="119"/>
      <c r="N78" s="119"/>
      <c r="O78" s="111"/>
      <c r="P78" s="112"/>
      <c r="Q78" s="113"/>
      <c r="R78" s="114"/>
      <c r="S78" s="125"/>
      <c r="T78" s="125"/>
    </row>
    <row r="79" spans="1:20" s="68" customFormat="1" ht="12.75">
      <c r="A79" s="310" t="s">
        <v>80</v>
      </c>
      <c r="B79" s="311">
        <v>10891</v>
      </c>
      <c r="C79" s="241" t="s">
        <v>308</v>
      </c>
      <c r="D79" s="312" t="s">
        <v>41</v>
      </c>
      <c r="E79" s="313">
        <v>2</v>
      </c>
      <c r="F79" s="313">
        <v>128.99</v>
      </c>
      <c r="G79" s="198">
        <f aca="true" t="shared" si="5" ref="G79:G84">ROUND(F79*0.7*1.25,2)</f>
        <v>112.87</v>
      </c>
      <c r="H79" s="198">
        <f aca="true" t="shared" si="6" ref="H79:H84">ROUND(F79*0.3*1.25,2)</f>
        <v>48.37</v>
      </c>
      <c r="I79" s="246">
        <f aca="true" t="shared" si="7" ref="I79:I84">ROUND(E79*G79,2)</f>
        <v>225.74</v>
      </c>
      <c r="J79" s="246">
        <f aca="true" t="shared" si="8" ref="J79:J84">ROUND(E79*H79,2)</f>
        <v>96.74</v>
      </c>
      <c r="K79" s="234">
        <f aca="true" t="shared" si="9" ref="K79:K84">I79+J79</f>
        <v>322.48</v>
      </c>
      <c r="L79" s="125"/>
      <c r="M79" s="125"/>
      <c r="N79" s="125"/>
      <c r="O79" s="111"/>
      <c r="P79" s="112"/>
      <c r="Q79" s="113"/>
      <c r="R79" s="114"/>
      <c r="S79" s="125"/>
      <c r="T79" s="125"/>
    </row>
    <row r="80" spans="1:20" s="68" customFormat="1" ht="12.75">
      <c r="A80" s="310" t="s">
        <v>134</v>
      </c>
      <c r="B80" s="311">
        <v>10851</v>
      </c>
      <c r="C80" s="200" t="s">
        <v>121</v>
      </c>
      <c r="D80" s="312" t="s">
        <v>41</v>
      </c>
      <c r="E80" s="313">
        <v>2</v>
      </c>
      <c r="F80" s="313">
        <v>55.35</v>
      </c>
      <c r="G80" s="198">
        <f t="shared" si="5"/>
        <v>48.43</v>
      </c>
      <c r="H80" s="198">
        <f t="shared" si="6"/>
        <v>20.76</v>
      </c>
      <c r="I80" s="246">
        <f t="shared" si="7"/>
        <v>96.86</v>
      </c>
      <c r="J80" s="246">
        <f t="shared" si="8"/>
        <v>41.52</v>
      </c>
      <c r="K80" s="234">
        <f t="shared" si="9"/>
        <v>138.38</v>
      </c>
      <c r="L80" s="125"/>
      <c r="M80" s="125"/>
      <c r="N80" s="125"/>
      <c r="O80" s="111"/>
      <c r="P80" s="112"/>
      <c r="Q80" s="113"/>
      <c r="R80" s="114"/>
      <c r="S80" s="125"/>
      <c r="T80" s="125"/>
    </row>
    <row r="81" spans="1:20" s="68" customFormat="1" ht="12.75">
      <c r="A81" s="310" t="s">
        <v>135</v>
      </c>
      <c r="B81" s="311"/>
      <c r="C81" s="200" t="s">
        <v>101</v>
      </c>
      <c r="D81" s="312" t="s">
        <v>41</v>
      </c>
      <c r="E81" s="313">
        <v>1</v>
      </c>
      <c r="F81" s="313">
        <v>70</v>
      </c>
      <c r="G81" s="198">
        <f t="shared" si="5"/>
        <v>61.25</v>
      </c>
      <c r="H81" s="198">
        <f t="shared" si="6"/>
        <v>26.25</v>
      </c>
      <c r="I81" s="246">
        <f t="shared" si="7"/>
        <v>61.25</v>
      </c>
      <c r="J81" s="246">
        <f t="shared" si="8"/>
        <v>26.25</v>
      </c>
      <c r="K81" s="234">
        <f t="shared" si="9"/>
        <v>87.5</v>
      </c>
      <c r="L81" s="125"/>
      <c r="M81" s="125"/>
      <c r="N81" s="125"/>
      <c r="O81" s="111"/>
      <c r="P81" s="112"/>
      <c r="Q81" s="113"/>
      <c r="R81" s="114"/>
      <c r="S81" s="125"/>
      <c r="T81" s="125"/>
    </row>
    <row r="82" spans="1:20" s="68" customFormat="1" ht="12.75">
      <c r="A82" s="310" t="s">
        <v>136</v>
      </c>
      <c r="B82" s="311">
        <v>10851</v>
      </c>
      <c r="C82" s="200" t="s">
        <v>102</v>
      </c>
      <c r="D82" s="312" t="s">
        <v>41</v>
      </c>
      <c r="E82" s="313">
        <v>1</v>
      </c>
      <c r="F82" s="313">
        <v>55.35</v>
      </c>
      <c r="G82" s="198">
        <f t="shared" si="5"/>
        <v>48.43</v>
      </c>
      <c r="H82" s="198">
        <f t="shared" si="6"/>
        <v>20.76</v>
      </c>
      <c r="I82" s="246">
        <f t="shared" si="7"/>
        <v>48.43</v>
      </c>
      <c r="J82" s="246">
        <f t="shared" si="8"/>
        <v>20.76</v>
      </c>
      <c r="K82" s="234">
        <f t="shared" si="9"/>
        <v>69.19</v>
      </c>
      <c r="L82" s="125"/>
      <c r="M82" s="125"/>
      <c r="N82" s="125"/>
      <c r="O82" s="111"/>
      <c r="P82" s="112"/>
      <c r="Q82" s="113"/>
      <c r="R82" s="114"/>
      <c r="S82" s="125"/>
      <c r="T82" s="125"/>
    </row>
    <row r="83" spans="1:20" s="68" customFormat="1" ht="12.75">
      <c r="A83" s="310" t="s">
        <v>137</v>
      </c>
      <c r="B83" s="311">
        <v>10851</v>
      </c>
      <c r="C83" s="200" t="s">
        <v>103</v>
      </c>
      <c r="D83" s="312" t="s">
        <v>41</v>
      </c>
      <c r="E83" s="313">
        <v>1</v>
      </c>
      <c r="F83" s="313">
        <v>55.35</v>
      </c>
      <c r="G83" s="198">
        <f t="shared" si="5"/>
        <v>48.43</v>
      </c>
      <c r="H83" s="198">
        <f t="shared" si="6"/>
        <v>20.76</v>
      </c>
      <c r="I83" s="246">
        <f t="shared" si="7"/>
        <v>48.43</v>
      </c>
      <c r="J83" s="246">
        <f t="shared" si="8"/>
        <v>20.76</v>
      </c>
      <c r="K83" s="214">
        <f t="shared" si="9"/>
        <v>69.19</v>
      </c>
      <c r="L83" s="125"/>
      <c r="M83" s="125"/>
      <c r="N83" s="125"/>
      <c r="O83" s="111"/>
      <c r="P83" s="112"/>
      <c r="Q83" s="113"/>
      <c r="R83" s="114"/>
      <c r="S83" s="125"/>
      <c r="T83" s="125"/>
    </row>
    <row r="84" spans="1:20" s="68" customFormat="1" ht="12.75">
      <c r="A84" s="310" t="s">
        <v>138</v>
      </c>
      <c r="B84" s="311">
        <v>10851</v>
      </c>
      <c r="C84" s="200" t="s">
        <v>104</v>
      </c>
      <c r="D84" s="219" t="s">
        <v>41</v>
      </c>
      <c r="E84" s="213">
        <v>3</v>
      </c>
      <c r="F84" s="313">
        <v>55.35</v>
      </c>
      <c r="G84" s="198">
        <f t="shared" si="5"/>
        <v>48.43</v>
      </c>
      <c r="H84" s="198">
        <f t="shared" si="6"/>
        <v>20.76</v>
      </c>
      <c r="I84" s="246">
        <f t="shared" si="7"/>
        <v>145.29</v>
      </c>
      <c r="J84" s="246">
        <f t="shared" si="8"/>
        <v>62.28</v>
      </c>
      <c r="K84" s="214">
        <f t="shared" si="9"/>
        <v>207.57</v>
      </c>
      <c r="L84" s="120"/>
      <c r="M84" s="120"/>
      <c r="N84" s="120"/>
      <c r="O84" s="111"/>
      <c r="P84" s="112"/>
      <c r="Q84" s="113"/>
      <c r="R84" s="114"/>
      <c r="S84" s="125"/>
      <c r="T84" s="125"/>
    </row>
    <row r="85" spans="1:20" s="15" customFormat="1" ht="15" customHeight="1">
      <c r="A85" s="224"/>
      <c r="B85" s="203"/>
      <c r="C85" s="204" t="s">
        <v>10</v>
      </c>
      <c r="D85" s="253"/>
      <c r="E85" s="254"/>
      <c r="F85" s="254"/>
      <c r="G85" s="198"/>
      <c r="H85" s="198"/>
      <c r="I85" s="205">
        <f>SUM(I79:I84)</f>
        <v>626</v>
      </c>
      <c r="J85" s="205">
        <f>SUM(J79:J84)</f>
        <v>268.30999999999995</v>
      </c>
      <c r="K85" s="206">
        <f>SUM(K79:K84)</f>
        <v>894.31</v>
      </c>
      <c r="L85" s="119"/>
      <c r="M85" s="119"/>
      <c r="N85" s="119"/>
      <c r="O85" s="74"/>
      <c r="P85" s="75"/>
      <c r="Q85" s="76"/>
      <c r="R85" s="77"/>
      <c r="S85" s="119"/>
      <c r="T85" s="119"/>
    </row>
    <row r="86" spans="1:20" s="90" customFormat="1" ht="18.75" customHeight="1">
      <c r="A86" s="100"/>
      <c r="B86" s="142"/>
      <c r="C86" s="146" t="s">
        <v>124</v>
      </c>
      <c r="D86" s="106"/>
      <c r="E86" s="107"/>
      <c r="F86" s="83"/>
      <c r="G86" s="198"/>
      <c r="H86" s="198"/>
      <c r="I86" s="139">
        <f>I85+I77+I71+I61+I54+I47+I42+I38+I33+I30+I26+I20</f>
        <v>35219.41</v>
      </c>
      <c r="J86" s="139">
        <f>J85+J77+J71+J61+J54+J47+J42+J38+J33+J30+J26+J20</f>
        <v>15064.050000000001</v>
      </c>
      <c r="K86" s="139">
        <f>K85+K77+K71+K61+K54+K47+K42+K38+K33+K30+K26+K20</f>
        <v>50283.45999999999</v>
      </c>
      <c r="L86" s="126"/>
      <c r="M86" s="126"/>
      <c r="N86" s="126"/>
      <c r="O86" s="91"/>
      <c r="P86" s="92"/>
      <c r="Q86" s="93"/>
      <c r="R86" s="94"/>
      <c r="S86" s="124"/>
      <c r="T86" s="124"/>
    </row>
    <row r="87" spans="1:20" s="15" customFormat="1" ht="13.5" customHeight="1">
      <c r="A87" s="207" t="s">
        <v>125</v>
      </c>
      <c r="B87" s="203"/>
      <c r="C87" s="208" t="s">
        <v>173</v>
      </c>
      <c r="D87" s="195"/>
      <c r="E87" s="201"/>
      <c r="F87" s="198"/>
      <c r="G87" s="198"/>
      <c r="H87" s="198"/>
      <c r="I87" s="209"/>
      <c r="J87" s="209"/>
      <c r="K87" s="210"/>
      <c r="L87" s="120"/>
      <c r="M87" s="120"/>
      <c r="N87" s="120"/>
      <c r="O87" s="119"/>
      <c r="P87" s="119"/>
      <c r="Q87" s="119"/>
      <c r="R87" s="119"/>
      <c r="S87" s="119"/>
      <c r="T87" s="119"/>
    </row>
    <row r="88" spans="1:20" s="15" customFormat="1" ht="15" customHeight="1">
      <c r="A88" s="211" t="s">
        <v>220</v>
      </c>
      <c r="B88" s="203"/>
      <c r="C88" s="187" t="s">
        <v>90</v>
      </c>
      <c r="D88" s="195"/>
      <c r="E88" s="212"/>
      <c r="F88" s="212"/>
      <c r="G88" s="198"/>
      <c r="H88" s="198"/>
      <c r="I88" s="212"/>
      <c r="J88" s="213"/>
      <c r="K88" s="214"/>
      <c r="L88" s="119"/>
      <c r="M88" s="119"/>
      <c r="N88" s="119"/>
      <c r="O88" s="119"/>
      <c r="P88" s="119"/>
      <c r="Q88" s="119"/>
      <c r="R88" s="119"/>
      <c r="S88" s="119"/>
      <c r="T88" s="119"/>
    </row>
    <row r="89" spans="1:20" s="15" customFormat="1" ht="27" customHeight="1">
      <c r="A89" s="215" t="s">
        <v>221</v>
      </c>
      <c r="B89" s="216" t="s">
        <v>95</v>
      </c>
      <c r="C89" s="217" t="s">
        <v>93</v>
      </c>
      <c r="D89" s="195" t="s">
        <v>9</v>
      </c>
      <c r="E89" s="212">
        <v>208</v>
      </c>
      <c r="F89" s="212">
        <v>4.86</v>
      </c>
      <c r="G89" s="198">
        <f>ROUND(F89*0.7*1.25,2)</f>
        <v>4.25</v>
      </c>
      <c r="H89" s="198">
        <f>ROUND(F89*0.3*1.25,2)</f>
        <v>1.82</v>
      </c>
      <c r="I89" s="198">
        <f>ROUND(E89*G89,2)</f>
        <v>884</v>
      </c>
      <c r="J89" s="198">
        <f>ROUND(E89*H89,2)</f>
        <v>378.56</v>
      </c>
      <c r="K89" s="218">
        <f>I89+J89</f>
        <v>1262.56</v>
      </c>
      <c r="L89" s="119"/>
      <c r="M89" s="119"/>
      <c r="N89" s="119"/>
      <c r="O89" s="119"/>
      <c r="P89" s="119"/>
      <c r="Q89" s="119"/>
      <c r="R89" s="119"/>
      <c r="S89" s="119"/>
      <c r="T89" s="119"/>
    </row>
    <row r="90" spans="1:20" s="15" customFormat="1" ht="15">
      <c r="A90" s="224"/>
      <c r="B90" s="203"/>
      <c r="C90" s="225" t="s">
        <v>10</v>
      </c>
      <c r="D90" s="226"/>
      <c r="E90" s="227"/>
      <c r="F90" s="213"/>
      <c r="G90" s="198"/>
      <c r="H90" s="198"/>
      <c r="I90" s="205">
        <f>SUM(I89)</f>
        <v>884</v>
      </c>
      <c r="J90" s="205">
        <f>SUM(J89)</f>
        <v>378.56</v>
      </c>
      <c r="K90" s="206">
        <f>SUM(K89)</f>
        <v>1262.56</v>
      </c>
      <c r="L90" s="120"/>
      <c r="M90" s="120"/>
      <c r="N90" s="120"/>
      <c r="O90" s="119"/>
      <c r="P90" s="119"/>
      <c r="Q90" s="119"/>
      <c r="R90" s="119"/>
      <c r="S90" s="119"/>
      <c r="T90" s="119"/>
    </row>
    <row r="91" spans="1:20" s="15" customFormat="1" ht="12.75">
      <c r="A91" s="211" t="s">
        <v>222</v>
      </c>
      <c r="B91" s="203"/>
      <c r="C91" s="187" t="s">
        <v>155</v>
      </c>
      <c r="D91" s="219"/>
      <c r="E91" s="213"/>
      <c r="F91" s="213"/>
      <c r="G91" s="198"/>
      <c r="H91" s="198"/>
      <c r="I91" s="213"/>
      <c r="J91" s="213"/>
      <c r="K91" s="214"/>
      <c r="L91" s="119"/>
      <c r="M91" s="119"/>
      <c r="N91" s="119"/>
      <c r="O91" s="119"/>
      <c r="P91" s="119"/>
      <c r="Q91" s="119"/>
      <c r="R91" s="119"/>
      <c r="S91" s="119"/>
      <c r="T91" s="119"/>
    </row>
    <row r="92" spans="1:20" s="15" customFormat="1" ht="12.75">
      <c r="A92" s="224" t="s">
        <v>223</v>
      </c>
      <c r="B92" s="203" t="s">
        <v>81</v>
      </c>
      <c r="C92" s="194" t="s">
        <v>150</v>
      </c>
      <c r="D92" s="219" t="s">
        <v>11</v>
      </c>
      <c r="E92" s="213">
        <v>10.4</v>
      </c>
      <c r="F92" s="213">
        <v>61.27</v>
      </c>
      <c r="G92" s="198">
        <f>ROUND(F92*0.7*1.25,2)</f>
        <v>53.61</v>
      </c>
      <c r="H92" s="198">
        <f>ROUND(F92*0.3*1.25,2)</f>
        <v>22.98</v>
      </c>
      <c r="I92" s="198">
        <f>ROUND(E92*G92,2)</f>
        <v>557.54</v>
      </c>
      <c r="J92" s="198">
        <f>ROUND(E92*H92,2)</f>
        <v>238.99</v>
      </c>
      <c r="K92" s="218">
        <f>I92+J92</f>
        <v>796.53</v>
      </c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s="15" customFormat="1" ht="26.25">
      <c r="A93" s="224" t="s">
        <v>224</v>
      </c>
      <c r="B93" s="203" t="s">
        <v>169</v>
      </c>
      <c r="C93" s="241" t="s">
        <v>170</v>
      </c>
      <c r="D93" s="226" t="s">
        <v>9</v>
      </c>
      <c r="E93" s="227">
        <v>208</v>
      </c>
      <c r="F93" s="213">
        <v>50.83</v>
      </c>
      <c r="G93" s="198">
        <f>ROUND(F93*0.7*1.25,2)</f>
        <v>44.48</v>
      </c>
      <c r="H93" s="198">
        <f>ROUND(F93*0.3*1.25,2)</f>
        <v>19.06</v>
      </c>
      <c r="I93" s="198">
        <f>ROUND(E93*G93,2)</f>
        <v>9251.84</v>
      </c>
      <c r="J93" s="198">
        <f>ROUND(E93*H93,2)</f>
        <v>3964.48</v>
      </c>
      <c r="K93" s="218">
        <f>I93+J93</f>
        <v>13216.32</v>
      </c>
      <c r="L93" s="120"/>
      <c r="M93" s="120"/>
      <c r="N93" s="120"/>
      <c r="O93" s="119"/>
      <c r="P93" s="119"/>
      <c r="Q93" s="119"/>
      <c r="R93" s="119"/>
      <c r="S93" s="119"/>
      <c r="T93" s="119"/>
    </row>
    <row r="94" spans="1:20" s="15" customFormat="1" ht="15" customHeight="1">
      <c r="A94" s="224"/>
      <c r="B94" s="203"/>
      <c r="C94" s="204" t="s">
        <v>10</v>
      </c>
      <c r="D94" s="219"/>
      <c r="E94" s="213"/>
      <c r="F94" s="213"/>
      <c r="G94" s="198"/>
      <c r="H94" s="198"/>
      <c r="I94" s="205">
        <f>SUM(I92:I93)</f>
        <v>9809.380000000001</v>
      </c>
      <c r="J94" s="205">
        <f>SUM(J92:J93)</f>
        <v>4203.47</v>
      </c>
      <c r="K94" s="206">
        <f>SUM(K92:K93)</f>
        <v>14012.85</v>
      </c>
      <c r="L94" s="119"/>
      <c r="M94" s="119"/>
      <c r="N94" s="119"/>
      <c r="O94" s="119"/>
      <c r="P94" s="119"/>
      <c r="Q94" s="119"/>
      <c r="R94" s="119"/>
      <c r="S94" s="119"/>
      <c r="T94" s="119"/>
    </row>
    <row r="95" spans="1:20" s="90" customFormat="1" ht="18.75" customHeight="1">
      <c r="A95" s="255"/>
      <c r="B95" s="256"/>
      <c r="C95" s="257" t="s">
        <v>174</v>
      </c>
      <c r="D95" s="258"/>
      <c r="E95" s="259"/>
      <c r="F95" s="260"/>
      <c r="G95" s="198"/>
      <c r="H95" s="198"/>
      <c r="I95" s="261">
        <f>I94+I90</f>
        <v>10693.380000000001</v>
      </c>
      <c r="J95" s="261">
        <f>J94+J90</f>
        <v>4582.030000000001</v>
      </c>
      <c r="K95" s="261">
        <f>K94+K90</f>
        <v>15275.41</v>
      </c>
      <c r="L95" s="126"/>
      <c r="M95" s="126"/>
      <c r="N95" s="126"/>
      <c r="O95" s="91"/>
      <c r="P95" s="92"/>
      <c r="Q95" s="93"/>
      <c r="R95" s="94"/>
      <c r="S95" s="124"/>
      <c r="T95" s="124"/>
    </row>
    <row r="96" spans="1:20" s="15" customFormat="1" ht="13.5" customHeight="1">
      <c r="A96" s="207" t="s">
        <v>175</v>
      </c>
      <c r="B96" s="203"/>
      <c r="C96" s="208" t="s">
        <v>176</v>
      </c>
      <c r="D96" s="195"/>
      <c r="E96" s="201"/>
      <c r="F96" s="198"/>
      <c r="G96" s="198"/>
      <c r="H96" s="198"/>
      <c r="I96" s="209"/>
      <c r="J96" s="209"/>
      <c r="K96" s="210"/>
      <c r="L96" s="120"/>
      <c r="M96" s="120"/>
      <c r="N96" s="120"/>
      <c r="O96" s="119"/>
      <c r="P96" s="119"/>
      <c r="Q96" s="119"/>
      <c r="R96" s="119"/>
      <c r="S96" s="119"/>
      <c r="T96" s="119"/>
    </row>
    <row r="97" spans="1:20" s="15" customFormat="1" ht="15" customHeight="1">
      <c r="A97" s="211" t="s">
        <v>225</v>
      </c>
      <c r="B97" s="203"/>
      <c r="C97" s="187" t="s">
        <v>90</v>
      </c>
      <c r="D97" s="195"/>
      <c r="E97" s="212"/>
      <c r="F97" s="212"/>
      <c r="G97" s="198"/>
      <c r="H97" s="198"/>
      <c r="I97" s="212"/>
      <c r="J97" s="213"/>
      <c r="K97" s="214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s="15" customFormat="1" ht="27" customHeight="1">
      <c r="A98" s="215" t="s">
        <v>226</v>
      </c>
      <c r="B98" s="216" t="s">
        <v>95</v>
      </c>
      <c r="C98" s="217" t="s">
        <v>93</v>
      </c>
      <c r="D98" s="195" t="s">
        <v>9</v>
      </c>
      <c r="E98" s="212">
        <v>52</v>
      </c>
      <c r="F98" s="212">
        <v>4.86</v>
      </c>
      <c r="G98" s="198">
        <f>ROUND(F98*0.7*1.25,2)</f>
        <v>4.25</v>
      </c>
      <c r="H98" s="198">
        <f>ROUND(F98*0.3*1.25,2)</f>
        <v>1.82</v>
      </c>
      <c r="I98" s="198">
        <f>ROUND(E98*G98,2)</f>
        <v>221</v>
      </c>
      <c r="J98" s="198">
        <f>ROUND(E98*H98,2)</f>
        <v>94.64</v>
      </c>
      <c r="K98" s="218">
        <f>I98+J98</f>
        <v>315.64</v>
      </c>
      <c r="L98" s="119"/>
      <c r="M98" s="119"/>
      <c r="N98" s="119"/>
      <c r="O98" s="119"/>
      <c r="P98" s="119"/>
      <c r="Q98" s="119"/>
      <c r="R98" s="119"/>
      <c r="S98" s="119"/>
      <c r="T98" s="119"/>
    </row>
    <row r="99" spans="1:20" s="15" customFormat="1" ht="15">
      <c r="A99" s="224"/>
      <c r="B99" s="203"/>
      <c r="C99" s="225" t="s">
        <v>10</v>
      </c>
      <c r="D99" s="226"/>
      <c r="E99" s="227"/>
      <c r="F99" s="213"/>
      <c r="G99" s="198"/>
      <c r="H99" s="198"/>
      <c r="I99" s="205">
        <f>SUM(I98)</f>
        <v>221</v>
      </c>
      <c r="J99" s="205">
        <f>SUM(J98)</f>
        <v>94.64</v>
      </c>
      <c r="K99" s="206">
        <f>SUM(K98)</f>
        <v>315.64</v>
      </c>
      <c r="L99" s="120"/>
      <c r="M99" s="120"/>
      <c r="N99" s="120"/>
      <c r="O99" s="119"/>
      <c r="P99" s="119"/>
      <c r="Q99" s="119"/>
      <c r="R99" s="119"/>
      <c r="S99" s="119"/>
      <c r="T99" s="119"/>
    </row>
    <row r="100" spans="1:20" s="15" customFormat="1" ht="12.75">
      <c r="A100" s="211" t="s">
        <v>227</v>
      </c>
      <c r="B100" s="203"/>
      <c r="C100" s="187" t="s">
        <v>155</v>
      </c>
      <c r="D100" s="219"/>
      <c r="E100" s="213"/>
      <c r="F100" s="213"/>
      <c r="G100" s="198"/>
      <c r="H100" s="198"/>
      <c r="I100" s="213"/>
      <c r="J100" s="213"/>
      <c r="K100" s="214"/>
      <c r="L100" s="119"/>
      <c r="M100" s="119"/>
      <c r="N100" s="119"/>
      <c r="O100" s="119"/>
      <c r="P100" s="119"/>
      <c r="Q100" s="119"/>
      <c r="R100" s="119"/>
      <c r="S100" s="119"/>
      <c r="T100" s="119"/>
    </row>
    <row r="101" spans="1:20" s="15" customFormat="1" ht="12.75">
      <c r="A101" s="224" t="s">
        <v>228</v>
      </c>
      <c r="B101" s="203" t="s">
        <v>81</v>
      </c>
      <c r="C101" s="194" t="s">
        <v>150</v>
      </c>
      <c r="D101" s="219" t="s">
        <v>11</v>
      </c>
      <c r="E101" s="213">
        <v>2.6</v>
      </c>
      <c r="F101" s="213">
        <v>61.27</v>
      </c>
      <c r="G101" s="198">
        <f>ROUND(F101*0.7*1.25,2)</f>
        <v>53.61</v>
      </c>
      <c r="H101" s="198">
        <f>ROUND(F101*0.3*1.25,2)</f>
        <v>22.98</v>
      </c>
      <c r="I101" s="198">
        <f>ROUND(E101*G101,2)</f>
        <v>139.39</v>
      </c>
      <c r="J101" s="198">
        <f>ROUND(E101*H101,2)</f>
        <v>59.75</v>
      </c>
      <c r="K101" s="218">
        <f>I101+J101</f>
        <v>199.14</v>
      </c>
      <c r="L101" s="119"/>
      <c r="M101" s="119"/>
      <c r="N101" s="119"/>
      <c r="O101" s="119"/>
      <c r="P101" s="119"/>
      <c r="Q101" s="119"/>
      <c r="R101" s="119"/>
      <c r="S101" s="119"/>
      <c r="T101" s="119"/>
    </row>
    <row r="102" spans="1:20" s="15" customFormat="1" ht="26.25">
      <c r="A102" s="224" t="s">
        <v>229</v>
      </c>
      <c r="B102" s="203" t="s">
        <v>169</v>
      </c>
      <c r="C102" s="241" t="s">
        <v>170</v>
      </c>
      <c r="D102" s="226" t="s">
        <v>9</v>
      </c>
      <c r="E102" s="227">
        <v>52</v>
      </c>
      <c r="F102" s="213">
        <v>50.83</v>
      </c>
      <c r="G102" s="198">
        <f>ROUND(F102*0.7*1.25,2)</f>
        <v>44.48</v>
      </c>
      <c r="H102" s="198">
        <f>ROUND(F102*0.3*1.25,2)</f>
        <v>19.06</v>
      </c>
      <c r="I102" s="198">
        <f>ROUND(E102*G102,2)</f>
        <v>2312.96</v>
      </c>
      <c r="J102" s="198">
        <f>ROUND(E102*H102,2)</f>
        <v>991.12</v>
      </c>
      <c r="K102" s="218">
        <f>I102+J102</f>
        <v>3304.08</v>
      </c>
      <c r="L102" s="120"/>
      <c r="M102" s="120"/>
      <c r="N102" s="120"/>
      <c r="O102" s="119"/>
      <c r="P102" s="119"/>
      <c r="Q102" s="119"/>
      <c r="R102" s="119"/>
      <c r="S102" s="119"/>
      <c r="T102" s="119"/>
    </row>
    <row r="103" spans="1:20" s="15" customFormat="1" ht="15" customHeight="1">
      <c r="A103" s="224"/>
      <c r="B103" s="203"/>
      <c r="C103" s="204" t="s">
        <v>10</v>
      </c>
      <c r="D103" s="219"/>
      <c r="E103" s="213"/>
      <c r="F103" s="213"/>
      <c r="G103" s="198"/>
      <c r="H103" s="198"/>
      <c r="I103" s="205">
        <f>SUM(I101:I102)</f>
        <v>2452.35</v>
      </c>
      <c r="J103" s="205">
        <f>SUM(J101:J102)</f>
        <v>1050.87</v>
      </c>
      <c r="K103" s="206">
        <f>SUM(K101:K102)</f>
        <v>3503.22</v>
      </c>
      <c r="L103" s="119"/>
      <c r="M103" s="119"/>
      <c r="N103" s="119"/>
      <c r="O103" s="119"/>
      <c r="P103" s="119"/>
      <c r="Q103" s="119"/>
      <c r="R103" s="119"/>
      <c r="S103" s="119"/>
      <c r="T103" s="119"/>
    </row>
    <row r="104" spans="1:20" s="15" customFormat="1" ht="15" customHeight="1">
      <c r="A104" s="262" t="s">
        <v>230</v>
      </c>
      <c r="B104" s="203"/>
      <c r="C104" s="263" t="s">
        <v>177</v>
      </c>
      <c r="D104" s="219"/>
      <c r="E104" s="213"/>
      <c r="F104" s="213"/>
      <c r="G104" s="198"/>
      <c r="H104" s="198"/>
      <c r="I104" s="205"/>
      <c r="J104" s="205"/>
      <c r="K104" s="264"/>
      <c r="L104" s="119"/>
      <c r="M104" s="119"/>
      <c r="N104" s="119"/>
      <c r="O104" s="119"/>
      <c r="P104" s="119"/>
      <c r="Q104" s="119"/>
      <c r="R104" s="119"/>
      <c r="S104" s="119"/>
      <c r="T104" s="119"/>
    </row>
    <row r="105" spans="1:20" s="15" customFormat="1" ht="26.25">
      <c r="A105" s="241" t="s">
        <v>231</v>
      </c>
      <c r="B105" s="241"/>
      <c r="C105" s="241" t="s">
        <v>178</v>
      </c>
      <c r="D105" s="241" t="s">
        <v>179</v>
      </c>
      <c r="E105" s="314">
        <v>1</v>
      </c>
      <c r="F105" s="314">
        <v>680</v>
      </c>
      <c r="G105" s="198">
        <f aca="true" t="shared" si="10" ref="G105:G114">ROUND(F105*0.7*1.25,2)</f>
        <v>595</v>
      </c>
      <c r="H105" s="198">
        <f aca="true" t="shared" si="11" ref="H105:H114">ROUND(F105*0.3*1.25,2)</f>
        <v>255</v>
      </c>
      <c r="I105" s="198">
        <f aca="true" t="shared" si="12" ref="I105:I114">ROUND(E105*G105,2)</f>
        <v>595</v>
      </c>
      <c r="J105" s="198">
        <f aca="true" t="shared" si="13" ref="J105:J114">ROUND(E105*H105,2)</f>
        <v>255</v>
      </c>
      <c r="K105" s="218">
        <f aca="true" t="shared" si="14" ref="K105:K114">I105+J105</f>
        <v>850</v>
      </c>
      <c r="L105" s="119"/>
      <c r="M105" s="119"/>
      <c r="N105" s="119"/>
      <c r="O105" s="119"/>
      <c r="P105" s="119"/>
      <c r="Q105" s="119"/>
      <c r="R105" s="119"/>
      <c r="S105" s="119"/>
      <c r="T105" s="119"/>
    </row>
    <row r="106" spans="1:20" s="15" customFormat="1" ht="12.75">
      <c r="A106" s="241" t="s">
        <v>232</v>
      </c>
      <c r="B106" s="241"/>
      <c r="C106" s="241" t="s">
        <v>180</v>
      </c>
      <c r="D106" s="241" t="s">
        <v>179</v>
      </c>
      <c r="E106" s="314">
        <v>1</v>
      </c>
      <c r="F106" s="314">
        <v>1550</v>
      </c>
      <c r="G106" s="198">
        <f t="shared" si="10"/>
        <v>1356.25</v>
      </c>
      <c r="H106" s="198">
        <f t="shared" si="11"/>
        <v>581.25</v>
      </c>
      <c r="I106" s="198">
        <f t="shared" si="12"/>
        <v>1356.25</v>
      </c>
      <c r="J106" s="198">
        <f t="shared" si="13"/>
        <v>581.25</v>
      </c>
      <c r="K106" s="218">
        <f t="shared" si="14"/>
        <v>1937.5</v>
      </c>
      <c r="L106" s="119"/>
      <c r="M106" s="119"/>
      <c r="N106" s="119"/>
      <c r="O106" s="119"/>
      <c r="P106" s="119"/>
      <c r="Q106" s="119"/>
      <c r="R106" s="119"/>
      <c r="S106" s="119"/>
      <c r="T106" s="119"/>
    </row>
    <row r="107" spans="1:20" s="15" customFormat="1" ht="12.75">
      <c r="A107" s="241" t="s">
        <v>233</v>
      </c>
      <c r="B107" s="241"/>
      <c r="C107" s="241" t="s">
        <v>181</v>
      </c>
      <c r="D107" s="241" t="s">
        <v>179</v>
      </c>
      <c r="E107" s="314">
        <v>1</v>
      </c>
      <c r="F107" s="314">
        <v>980</v>
      </c>
      <c r="G107" s="198">
        <f t="shared" si="10"/>
        <v>857.5</v>
      </c>
      <c r="H107" s="198">
        <f t="shared" si="11"/>
        <v>367.5</v>
      </c>
      <c r="I107" s="198">
        <f t="shared" si="12"/>
        <v>857.5</v>
      </c>
      <c r="J107" s="198">
        <f t="shared" si="13"/>
        <v>367.5</v>
      </c>
      <c r="K107" s="218">
        <f t="shared" si="14"/>
        <v>1225</v>
      </c>
      <c r="L107" s="119"/>
      <c r="M107" s="119"/>
      <c r="N107" s="119"/>
      <c r="O107" s="119"/>
      <c r="P107" s="119"/>
      <c r="Q107" s="119"/>
      <c r="R107" s="119"/>
      <c r="S107" s="119"/>
      <c r="T107" s="119"/>
    </row>
    <row r="108" spans="1:20" s="15" customFormat="1" ht="12.75">
      <c r="A108" s="241" t="s">
        <v>234</v>
      </c>
      <c r="B108" s="241"/>
      <c r="C108" s="241" t="s">
        <v>182</v>
      </c>
      <c r="D108" s="241" t="s">
        <v>179</v>
      </c>
      <c r="E108" s="314">
        <v>1</v>
      </c>
      <c r="F108" s="314">
        <v>1550</v>
      </c>
      <c r="G108" s="198">
        <f t="shared" si="10"/>
        <v>1356.25</v>
      </c>
      <c r="H108" s="198">
        <f t="shared" si="11"/>
        <v>581.25</v>
      </c>
      <c r="I108" s="198">
        <f t="shared" si="12"/>
        <v>1356.25</v>
      </c>
      <c r="J108" s="198">
        <f t="shared" si="13"/>
        <v>581.25</v>
      </c>
      <c r="K108" s="218">
        <f t="shared" si="14"/>
        <v>1937.5</v>
      </c>
      <c r="L108" s="119"/>
      <c r="M108" s="119"/>
      <c r="N108" s="119"/>
      <c r="O108" s="119"/>
      <c r="P108" s="119"/>
      <c r="Q108" s="119"/>
      <c r="R108" s="119"/>
      <c r="S108" s="119"/>
      <c r="T108" s="119"/>
    </row>
    <row r="109" spans="1:20" s="15" customFormat="1" ht="12.75">
      <c r="A109" s="241" t="s">
        <v>235</v>
      </c>
      <c r="B109" s="241"/>
      <c r="C109" s="241" t="s">
        <v>183</v>
      </c>
      <c r="D109" s="241" t="s">
        <v>179</v>
      </c>
      <c r="E109" s="314">
        <v>1</v>
      </c>
      <c r="F109" s="314">
        <v>1650</v>
      </c>
      <c r="G109" s="198">
        <f t="shared" si="10"/>
        <v>1443.75</v>
      </c>
      <c r="H109" s="198">
        <f t="shared" si="11"/>
        <v>618.75</v>
      </c>
      <c r="I109" s="198">
        <f t="shared" si="12"/>
        <v>1443.75</v>
      </c>
      <c r="J109" s="198">
        <f t="shared" si="13"/>
        <v>618.75</v>
      </c>
      <c r="K109" s="218">
        <f t="shared" si="14"/>
        <v>2062.5</v>
      </c>
      <c r="L109" s="119"/>
      <c r="M109" s="119"/>
      <c r="N109" s="119"/>
      <c r="O109" s="119"/>
      <c r="P109" s="119"/>
      <c r="Q109" s="119"/>
      <c r="R109" s="119"/>
      <c r="S109" s="119"/>
      <c r="T109" s="119"/>
    </row>
    <row r="110" spans="1:20" s="15" customFormat="1" ht="12.75">
      <c r="A110" s="241" t="s">
        <v>236</v>
      </c>
      <c r="B110" s="241"/>
      <c r="C110" s="241" t="s">
        <v>184</v>
      </c>
      <c r="D110" s="241" t="s">
        <v>179</v>
      </c>
      <c r="E110" s="314">
        <v>1</v>
      </c>
      <c r="F110" s="314">
        <v>1500</v>
      </c>
      <c r="G110" s="198">
        <f t="shared" si="10"/>
        <v>1312.5</v>
      </c>
      <c r="H110" s="198">
        <f t="shared" si="11"/>
        <v>562.5</v>
      </c>
      <c r="I110" s="198">
        <f t="shared" si="12"/>
        <v>1312.5</v>
      </c>
      <c r="J110" s="198">
        <f t="shared" si="13"/>
        <v>562.5</v>
      </c>
      <c r="K110" s="218">
        <f t="shared" si="14"/>
        <v>1875</v>
      </c>
      <c r="L110" s="119"/>
      <c r="M110" s="119"/>
      <c r="N110" s="119"/>
      <c r="O110" s="119"/>
      <c r="P110" s="119"/>
      <c r="Q110" s="119"/>
      <c r="R110" s="119"/>
      <c r="S110" s="119"/>
      <c r="T110" s="119"/>
    </row>
    <row r="111" spans="1:20" s="15" customFormat="1" ht="12.75">
      <c r="A111" s="241" t="s">
        <v>237</v>
      </c>
      <c r="B111" s="241"/>
      <c r="C111" s="241" t="s">
        <v>185</v>
      </c>
      <c r="D111" s="241" t="s">
        <v>179</v>
      </c>
      <c r="E111" s="314">
        <v>1</v>
      </c>
      <c r="F111" s="314">
        <v>1650</v>
      </c>
      <c r="G111" s="198">
        <f t="shared" si="10"/>
        <v>1443.75</v>
      </c>
      <c r="H111" s="198">
        <f t="shared" si="11"/>
        <v>618.75</v>
      </c>
      <c r="I111" s="198">
        <f t="shared" si="12"/>
        <v>1443.75</v>
      </c>
      <c r="J111" s="198">
        <f t="shared" si="13"/>
        <v>618.75</v>
      </c>
      <c r="K111" s="218">
        <f t="shared" si="14"/>
        <v>2062.5</v>
      </c>
      <c r="L111" s="119"/>
      <c r="M111" s="119"/>
      <c r="N111" s="119"/>
      <c r="O111" s="119"/>
      <c r="P111" s="119"/>
      <c r="Q111" s="119"/>
      <c r="R111" s="119"/>
      <c r="S111" s="119"/>
      <c r="T111" s="119"/>
    </row>
    <row r="112" spans="1:20" s="15" customFormat="1" ht="12.75">
      <c r="A112" s="241" t="s">
        <v>238</v>
      </c>
      <c r="B112" s="241"/>
      <c r="C112" s="241" t="s">
        <v>186</v>
      </c>
      <c r="D112" s="241" t="s">
        <v>179</v>
      </c>
      <c r="E112" s="314">
        <v>1</v>
      </c>
      <c r="F112" s="314">
        <v>1850</v>
      </c>
      <c r="G112" s="198">
        <f t="shared" si="10"/>
        <v>1618.75</v>
      </c>
      <c r="H112" s="198">
        <f t="shared" si="11"/>
        <v>693.75</v>
      </c>
      <c r="I112" s="198">
        <f t="shared" si="12"/>
        <v>1618.75</v>
      </c>
      <c r="J112" s="198">
        <f t="shared" si="13"/>
        <v>693.75</v>
      </c>
      <c r="K112" s="218">
        <f t="shared" si="14"/>
        <v>2312.5</v>
      </c>
      <c r="L112" s="119"/>
      <c r="M112" s="119"/>
      <c r="N112" s="119"/>
      <c r="O112" s="119"/>
      <c r="P112" s="119"/>
      <c r="Q112" s="119"/>
      <c r="R112" s="119"/>
      <c r="S112" s="119"/>
      <c r="T112" s="119"/>
    </row>
    <row r="113" spans="1:20" s="15" customFormat="1" ht="12.75">
      <c r="A113" s="241" t="s">
        <v>301</v>
      </c>
      <c r="B113" s="266">
        <v>25399</v>
      </c>
      <c r="C113" s="241" t="s">
        <v>303</v>
      </c>
      <c r="D113" s="241" t="s">
        <v>304</v>
      </c>
      <c r="E113" s="314">
        <v>1</v>
      </c>
      <c r="F113" s="314">
        <v>569.02</v>
      </c>
      <c r="G113" s="198">
        <f t="shared" si="10"/>
        <v>497.89</v>
      </c>
      <c r="H113" s="198">
        <f t="shared" si="11"/>
        <v>213.38</v>
      </c>
      <c r="I113" s="198">
        <f t="shared" si="12"/>
        <v>497.89</v>
      </c>
      <c r="J113" s="198">
        <f t="shared" si="13"/>
        <v>213.38</v>
      </c>
      <c r="K113" s="198">
        <f t="shared" si="14"/>
        <v>711.27</v>
      </c>
      <c r="L113" s="119"/>
      <c r="M113" s="119"/>
      <c r="N113" s="119"/>
      <c r="O113" s="119"/>
      <c r="P113" s="119"/>
      <c r="Q113" s="119"/>
      <c r="R113" s="119"/>
      <c r="S113" s="119"/>
      <c r="T113" s="119"/>
    </row>
    <row r="114" spans="1:20" s="15" customFormat="1" ht="39">
      <c r="A114" s="194" t="s">
        <v>302</v>
      </c>
      <c r="B114" s="194">
        <v>25398</v>
      </c>
      <c r="C114" s="194" t="s">
        <v>305</v>
      </c>
      <c r="D114" s="194" t="s">
        <v>304</v>
      </c>
      <c r="E114" s="315">
        <v>1</v>
      </c>
      <c r="F114" s="315">
        <v>2489.39</v>
      </c>
      <c r="G114" s="198">
        <f t="shared" si="10"/>
        <v>2178.22</v>
      </c>
      <c r="H114" s="198">
        <f t="shared" si="11"/>
        <v>933.52</v>
      </c>
      <c r="I114" s="198">
        <f t="shared" si="12"/>
        <v>2178.22</v>
      </c>
      <c r="J114" s="198">
        <f t="shared" si="13"/>
        <v>933.52</v>
      </c>
      <c r="K114" s="198">
        <f t="shared" si="14"/>
        <v>3111.74</v>
      </c>
      <c r="L114" s="119"/>
      <c r="M114" s="119"/>
      <c r="N114" s="119"/>
      <c r="O114" s="119"/>
      <c r="P114" s="119"/>
      <c r="Q114" s="119"/>
      <c r="R114" s="119"/>
      <c r="S114" s="119"/>
      <c r="T114" s="119"/>
    </row>
    <row r="115" spans="1:20" s="15" customFormat="1" ht="15">
      <c r="A115" s="265"/>
      <c r="B115" s="266"/>
      <c r="C115" s="204" t="s">
        <v>10</v>
      </c>
      <c r="D115" s="219"/>
      <c r="E115" s="213"/>
      <c r="F115" s="213"/>
      <c r="G115" s="198"/>
      <c r="H115" s="198"/>
      <c r="I115" s="206">
        <f>SUM(I105:I114)</f>
        <v>12659.859999999999</v>
      </c>
      <c r="J115" s="206">
        <f>SUM(J105:J114)</f>
        <v>5425.65</v>
      </c>
      <c r="K115" s="206">
        <f>SUM(K105:K114)</f>
        <v>18085.510000000002</v>
      </c>
      <c r="L115" s="119"/>
      <c r="M115" s="119"/>
      <c r="N115" s="119"/>
      <c r="O115" s="119"/>
      <c r="P115" s="119"/>
      <c r="Q115" s="119"/>
      <c r="R115" s="119"/>
      <c r="S115" s="119"/>
      <c r="T115" s="119"/>
    </row>
    <row r="116" spans="1:20" s="90" customFormat="1" ht="18.75" customHeight="1">
      <c r="A116" s="255"/>
      <c r="B116" s="256"/>
      <c r="C116" s="257" t="s">
        <v>187</v>
      </c>
      <c r="D116" s="258"/>
      <c r="E116" s="259"/>
      <c r="F116" s="260"/>
      <c r="G116" s="198"/>
      <c r="H116" s="198"/>
      <c r="I116" s="261">
        <f>I115+I103+I99</f>
        <v>15333.21</v>
      </c>
      <c r="J116" s="261">
        <f>J115+J103+J99</f>
        <v>6571.16</v>
      </c>
      <c r="K116" s="261">
        <f>K115+K103+K99</f>
        <v>21904.370000000003</v>
      </c>
      <c r="L116" s="126"/>
      <c r="M116" s="126"/>
      <c r="N116" s="126"/>
      <c r="O116" s="91"/>
      <c r="P116" s="92"/>
      <c r="Q116" s="93"/>
      <c r="R116" s="94"/>
      <c r="S116" s="124"/>
      <c r="T116" s="124"/>
    </row>
    <row r="117" spans="1:20" s="90" customFormat="1" ht="18.75" customHeight="1">
      <c r="A117" s="267" t="s">
        <v>201</v>
      </c>
      <c r="B117" s="170"/>
      <c r="C117" s="208" t="s">
        <v>202</v>
      </c>
      <c r="D117" s="171"/>
      <c r="E117" s="172"/>
      <c r="F117" s="173"/>
      <c r="G117" s="198"/>
      <c r="H117" s="198"/>
      <c r="I117" s="174"/>
      <c r="J117" s="174"/>
      <c r="K117" s="174"/>
      <c r="L117" s="126"/>
      <c r="M117" s="126"/>
      <c r="N117" s="126"/>
      <c r="O117" s="91"/>
      <c r="P117" s="92"/>
      <c r="Q117" s="93"/>
      <c r="R117" s="94"/>
      <c r="S117" s="124"/>
      <c r="T117" s="124"/>
    </row>
    <row r="118" spans="1:20" s="90" customFormat="1" ht="13.5">
      <c r="A118" s="272">
        <v>20</v>
      </c>
      <c r="B118" s="256"/>
      <c r="C118" s="283" t="s">
        <v>204</v>
      </c>
      <c r="D118" s="284"/>
      <c r="E118" s="285"/>
      <c r="F118" s="6"/>
      <c r="G118" s="6"/>
      <c r="H118" s="6"/>
      <c r="I118" s="6"/>
      <c r="J118" s="6"/>
      <c r="K118" s="148"/>
      <c r="L118" s="126"/>
      <c r="M118" s="126"/>
      <c r="N118" s="126"/>
      <c r="O118" s="91"/>
      <c r="P118" s="92"/>
      <c r="Q118" s="93"/>
      <c r="R118" s="94"/>
      <c r="S118" s="124"/>
      <c r="T118" s="124"/>
    </row>
    <row r="119" spans="1:20" s="90" customFormat="1" ht="26.25">
      <c r="A119" s="273" t="s">
        <v>261</v>
      </c>
      <c r="B119" s="301" t="s">
        <v>194</v>
      </c>
      <c r="C119" s="302" t="s">
        <v>262</v>
      </c>
      <c r="D119" s="150" t="s">
        <v>14</v>
      </c>
      <c r="E119" s="151">
        <v>50</v>
      </c>
      <c r="F119" s="152">
        <v>5.87</v>
      </c>
      <c r="G119" s="213">
        <f aca="true" t="shared" si="15" ref="G119:G129">ROUND(F119*0.7*1.25,2)</f>
        <v>5.14</v>
      </c>
      <c r="H119" s="213">
        <f aca="true" t="shared" si="16" ref="H119:H129">ROUND(F119*0.3*1.25,2)</f>
        <v>2.2</v>
      </c>
      <c r="I119" s="213">
        <f aca="true" t="shared" si="17" ref="I119:I129">ROUND(E119*G119,2)</f>
        <v>257</v>
      </c>
      <c r="J119" s="213">
        <f aca="true" t="shared" si="18" ref="J119:J129">ROUND(E119*H119,2)</f>
        <v>110</v>
      </c>
      <c r="K119" s="214">
        <f aca="true" t="shared" si="19" ref="K119:K129">I119+J119</f>
        <v>367</v>
      </c>
      <c r="L119" s="126"/>
      <c r="M119" s="126"/>
      <c r="N119" s="126"/>
      <c r="O119" s="91"/>
      <c r="P119" s="92"/>
      <c r="Q119" s="93"/>
      <c r="R119" s="94"/>
      <c r="S119" s="124"/>
      <c r="T119" s="124"/>
    </row>
    <row r="120" spans="1:20" s="90" customFormat="1" ht="12.75">
      <c r="A120" s="273" t="s">
        <v>263</v>
      </c>
      <c r="B120" s="150">
        <v>34621</v>
      </c>
      <c r="C120" s="303" t="s">
        <v>306</v>
      </c>
      <c r="D120" s="150" t="s">
        <v>14</v>
      </c>
      <c r="E120" s="151">
        <v>100</v>
      </c>
      <c r="F120" s="155">
        <v>6.73</v>
      </c>
      <c r="G120" s="213">
        <f t="shared" si="15"/>
        <v>5.89</v>
      </c>
      <c r="H120" s="213">
        <f t="shared" si="16"/>
        <v>2.52</v>
      </c>
      <c r="I120" s="213">
        <f t="shared" si="17"/>
        <v>589</v>
      </c>
      <c r="J120" s="213">
        <f t="shared" si="18"/>
        <v>252</v>
      </c>
      <c r="K120" s="214">
        <f t="shared" si="19"/>
        <v>841</v>
      </c>
      <c r="L120" s="126"/>
      <c r="M120" s="126"/>
      <c r="N120" s="126"/>
      <c r="O120" s="91"/>
      <c r="P120" s="92"/>
      <c r="Q120" s="93"/>
      <c r="R120" s="94"/>
      <c r="S120" s="124"/>
      <c r="T120" s="124"/>
    </row>
    <row r="121" spans="1:20" s="90" customFormat="1" ht="12.75">
      <c r="A121" s="273" t="s">
        <v>239</v>
      </c>
      <c r="B121" s="150">
        <v>83448</v>
      </c>
      <c r="C121" s="304" t="s">
        <v>196</v>
      </c>
      <c r="D121" s="150" t="s">
        <v>4</v>
      </c>
      <c r="E121" s="151">
        <v>3</v>
      </c>
      <c r="F121" s="155">
        <v>151.82</v>
      </c>
      <c r="G121" s="213">
        <f t="shared" si="15"/>
        <v>132.84</v>
      </c>
      <c r="H121" s="213">
        <f t="shared" si="16"/>
        <v>56.93</v>
      </c>
      <c r="I121" s="213">
        <f t="shared" si="17"/>
        <v>398.52</v>
      </c>
      <c r="J121" s="213">
        <f t="shared" si="18"/>
        <v>170.79</v>
      </c>
      <c r="K121" s="214">
        <f t="shared" si="19"/>
        <v>569.31</v>
      </c>
      <c r="L121" s="126"/>
      <c r="M121" s="126"/>
      <c r="N121" s="126"/>
      <c r="O121" s="91"/>
      <c r="P121" s="92"/>
      <c r="Q121" s="93"/>
      <c r="R121" s="94"/>
      <c r="S121" s="124"/>
      <c r="T121" s="124"/>
    </row>
    <row r="122" spans="1:20" s="90" customFormat="1" ht="12.75">
      <c r="A122" s="273" t="s">
        <v>264</v>
      </c>
      <c r="B122" s="150" t="s">
        <v>265</v>
      </c>
      <c r="C122" s="305" t="s">
        <v>266</v>
      </c>
      <c r="D122" s="150" t="s">
        <v>4</v>
      </c>
      <c r="E122" s="151">
        <v>9</v>
      </c>
      <c r="F122" s="155">
        <v>235.6</v>
      </c>
      <c r="G122" s="213">
        <f t="shared" si="15"/>
        <v>206.15</v>
      </c>
      <c r="H122" s="213">
        <f t="shared" si="16"/>
        <v>88.35</v>
      </c>
      <c r="I122" s="213">
        <f t="shared" si="17"/>
        <v>1855.35</v>
      </c>
      <c r="J122" s="213">
        <f t="shared" si="18"/>
        <v>795.15</v>
      </c>
      <c r="K122" s="214">
        <f t="shared" si="19"/>
        <v>2650.5</v>
      </c>
      <c r="L122" s="126"/>
      <c r="M122" s="126"/>
      <c r="N122" s="126"/>
      <c r="O122" s="91"/>
      <c r="P122" s="92"/>
      <c r="Q122" s="93"/>
      <c r="R122" s="94"/>
      <c r="S122" s="124"/>
      <c r="T122" s="124"/>
    </row>
    <row r="123" spans="1:20" s="90" customFormat="1" ht="12.75">
      <c r="A123" s="273" t="s">
        <v>267</v>
      </c>
      <c r="B123" s="150" t="s">
        <v>292</v>
      </c>
      <c r="C123" s="305" t="s">
        <v>268</v>
      </c>
      <c r="D123" s="150" t="s">
        <v>4</v>
      </c>
      <c r="E123" s="151">
        <v>3</v>
      </c>
      <c r="F123" s="155">
        <v>25.48</v>
      </c>
      <c r="G123" s="213">
        <f t="shared" si="15"/>
        <v>22.3</v>
      </c>
      <c r="H123" s="213">
        <f t="shared" si="16"/>
        <v>9.56</v>
      </c>
      <c r="I123" s="213">
        <f t="shared" si="17"/>
        <v>66.9</v>
      </c>
      <c r="J123" s="213">
        <f t="shared" si="18"/>
        <v>28.68</v>
      </c>
      <c r="K123" s="214">
        <f t="shared" si="19"/>
        <v>95.58000000000001</v>
      </c>
      <c r="L123" s="126"/>
      <c r="M123" s="126"/>
      <c r="N123" s="126"/>
      <c r="O123" s="91"/>
      <c r="P123" s="92"/>
      <c r="Q123" s="93"/>
      <c r="R123" s="94"/>
      <c r="S123" s="124"/>
      <c r="T123" s="124"/>
    </row>
    <row r="124" spans="1:20" s="90" customFormat="1" ht="39">
      <c r="A124" s="273" t="s">
        <v>269</v>
      </c>
      <c r="B124" s="150">
        <v>83394</v>
      </c>
      <c r="C124" s="306" t="s">
        <v>307</v>
      </c>
      <c r="D124" s="150" t="s">
        <v>4</v>
      </c>
      <c r="E124" s="151">
        <v>3</v>
      </c>
      <c r="F124" s="155">
        <v>709.83</v>
      </c>
      <c r="G124" s="213">
        <f t="shared" si="15"/>
        <v>621.1</v>
      </c>
      <c r="H124" s="213">
        <f t="shared" si="16"/>
        <v>266.19</v>
      </c>
      <c r="I124" s="213">
        <f t="shared" si="17"/>
        <v>1863.3</v>
      </c>
      <c r="J124" s="213">
        <f t="shared" si="18"/>
        <v>798.57</v>
      </c>
      <c r="K124" s="214">
        <f t="shared" si="19"/>
        <v>2661.87</v>
      </c>
      <c r="L124" s="126"/>
      <c r="M124" s="126"/>
      <c r="N124" s="126"/>
      <c r="O124" s="91"/>
      <c r="P124" s="92"/>
      <c r="Q124" s="93"/>
      <c r="R124" s="94"/>
      <c r="S124" s="124"/>
      <c r="T124" s="124"/>
    </row>
    <row r="125" spans="1:20" s="90" customFormat="1" ht="26.25">
      <c r="A125" s="273" t="s">
        <v>240</v>
      </c>
      <c r="B125" s="150" t="s">
        <v>293</v>
      </c>
      <c r="C125" s="306" t="s">
        <v>199</v>
      </c>
      <c r="D125" s="150" t="s">
        <v>4</v>
      </c>
      <c r="E125" s="151">
        <v>4</v>
      </c>
      <c r="F125" s="155">
        <v>26.84</v>
      </c>
      <c r="G125" s="213">
        <f t="shared" si="15"/>
        <v>23.49</v>
      </c>
      <c r="H125" s="213">
        <f t="shared" si="16"/>
        <v>10.07</v>
      </c>
      <c r="I125" s="213">
        <f t="shared" si="17"/>
        <v>93.96</v>
      </c>
      <c r="J125" s="213">
        <f t="shared" si="18"/>
        <v>40.28</v>
      </c>
      <c r="K125" s="214">
        <f t="shared" si="19"/>
        <v>134.24</v>
      </c>
      <c r="L125" s="126"/>
      <c r="M125" s="126"/>
      <c r="N125" s="126"/>
      <c r="O125" s="91"/>
      <c r="P125" s="92"/>
      <c r="Q125" s="93"/>
      <c r="R125" s="94"/>
      <c r="S125" s="124"/>
      <c r="T125" s="124"/>
    </row>
    <row r="126" spans="1:20" s="90" customFormat="1" ht="12.75">
      <c r="A126" s="273" t="s">
        <v>270</v>
      </c>
      <c r="B126" s="150" t="s">
        <v>194</v>
      </c>
      <c r="C126" s="305" t="s">
        <v>271</v>
      </c>
      <c r="D126" s="150" t="s">
        <v>4</v>
      </c>
      <c r="E126" s="286">
        <v>9</v>
      </c>
      <c r="F126" s="287">
        <v>87</v>
      </c>
      <c r="G126" s="213">
        <f t="shared" si="15"/>
        <v>76.13</v>
      </c>
      <c r="H126" s="213">
        <f t="shared" si="16"/>
        <v>32.63</v>
      </c>
      <c r="I126" s="213">
        <f t="shared" si="17"/>
        <v>685.17</v>
      </c>
      <c r="J126" s="213">
        <f t="shared" si="18"/>
        <v>293.67</v>
      </c>
      <c r="K126" s="214">
        <f t="shared" si="19"/>
        <v>978.8399999999999</v>
      </c>
      <c r="L126" s="126"/>
      <c r="M126" s="126"/>
      <c r="N126" s="126"/>
      <c r="O126" s="91"/>
      <c r="P126" s="92"/>
      <c r="Q126" s="93"/>
      <c r="R126" s="94"/>
      <c r="S126" s="124"/>
      <c r="T126" s="124"/>
    </row>
    <row r="127" spans="1:20" s="90" customFormat="1" ht="26.25">
      <c r="A127" s="273" t="s">
        <v>272</v>
      </c>
      <c r="B127" s="150" t="s">
        <v>294</v>
      </c>
      <c r="C127" s="298" t="s">
        <v>273</v>
      </c>
      <c r="D127" s="150" t="s">
        <v>4</v>
      </c>
      <c r="E127" s="288">
        <v>0.2</v>
      </c>
      <c r="F127" s="156">
        <v>32.33</v>
      </c>
      <c r="G127" s="213">
        <f t="shared" si="15"/>
        <v>28.29</v>
      </c>
      <c r="H127" s="213">
        <f t="shared" si="16"/>
        <v>12.12</v>
      </c>
      <c r="I127" s="213">
        <f t="shared" si="17"/>
        <v>5.66</v>
      </c>
      <c r="J127" s="213">
        <f t="shared" si="18"/>
        <v>2.42</v>
      </c>
      <c r="K127" s="214">
        <f t="shared" si="19"/>
        <v>8.08</v>
      </c>
      <c r="L127" s="126"/>
      <c r="M127" s="126"/>
      <c r="N127" s="126"/>
      <c r="O127" s="91"/>
      <c r="P127" s="92"/>
      <c r="Q127" s="93"/>
      <c r="R127" s="94"/>
      <c r="S127" s="124"/>
      <c r="T127" s="124"/>
    </row>
    <row r="128" spans="1:20" s="90" customFormat="1" ht="12" customHeight="1">
      <c r="A128" s="273" t="s">
        <v>274</v>
      </c>
      <c r="B128" s="150" t="s">
        <v>194</v>
      </c>
      <c r="C128" s="307" t="s">
        <v>275</v>
      </c>
      <c r="D128" s="150" t="s">
        <v>4</v>
      </c>
      <c r="E128" s="289">
        <v>3</v>
      </c>
      <c r="F128" s="290">
        <v>0.5</v>
      </c>
      <c r="G128" s="213">
        <f t="shared" si="15"/>
        <v>0.44</v>
      </c>
      <c r="H128" s="213">
        <f t="shared" si="16"/>
        <v>0.19</v>
      </c>
      <c r="I128" s="213">
        <f t="shared" si="17"/>
        <v>1.32</v>
      </c>
      <c r="J128" s="213">
        <f t="shared" si="18"/>
        <v>0.57</v>
      </c>
      <c r="K128" s="214">
        <f t="shared" si="19"/>
        <v>1.8900000000000001</v>
      </c>
      <c r="L128" s="126"/>
      <c r="M128" s="126"/>
      <c r="N128" s="126"/>
      <c r="O128" s="91"/>
      <c r="P128" s="92"/>
      <c r="Q128" s="93"/>
      <c r="R128" s="94"/>
      <c r="S128" s="124"/>
      <c r="T128" s="124"/>
    </row>
    <row r="129" spans="1:20" s="90" customFormat="1" ht="39">
      <c r="A129" s="273" t="s">
        <v>241</v>
      </c>
      <c r="B129" s="150">
        <v>9540</v>
      </c>
      <c r="C129" s="302" t="s">
        <v>203</v>
      </c>
      <c r="D129" s="150" t="s">
        <v>4</v>
      </c>
      <c r="E129" s="268">
        <v>1</v>
      </c>
      <c r="F129" s="156">
        <v>743.73</v>
      </c>
      <c r="G129" s="213">
        <f t="shared" si="15"/>
        <v>650.76</v>
      </c>
      <c r="H129" s="213">
        <f t="shared" si="16"/>
        <v>278.9</v>
      </c>
      <c r="I129" s="213">
        <f t="shared" si="17"/>
        <v>650.76</v>
      </c>
      <c r="J129" s="213">
        <f t="shared" si="18"/>
        <v>278.9</v>
      </c>
      <c r="K129" s="214">
        <f t="shared" si="19"/>
        <v>929.66</v>
      </c>
      <c r="L129" s="126"/>
      <c r="M129" s="126"/>
      <c r="N129" s="126"/>
      <c r="O129" s="91"/>
      <c r="P129" s="92"/>
      <c r="Q129" s="93"/>
      <c r="R129" s="94"/>
      <c r="S129" s="124"/>
      <c r="T129" s="124"/>
    </row>
    <row r="130" spans="1:20" s="90" customFormat="1" ht="15">
      <c r="A130" s="274"/>
      <c r="B130" s="256"/>
      <c r="C130" s="291" t="s">
        <v>10</v>
      </c>
      <c r="D130" s="284"/>
      <c r="E130" s="292"/>
      <c r="F130" s="269"/>
      <c r="G130" s="153"/>
      <c r="H130" s="270"/>
      <c r="I130" s="206">
        <f>SUM(I119:I129)</f>
        <v>6466.94</v>
      </c>
      <c r="J130" s="206">
        <f>SUM(J119:J129)</f>
        <v>2771.0300000000007</v>
      </c>
      <c r="K130" s="206">
        <f>SUM(K119:K129)</f>
        <v>9237.969999999998</v>
      </c>
      <c r="L130" s="126"/>
      <c r="M130" s="126"/>
      <c r="N130" s="126"/>
      <c r="O130" s="91"/>
      <c r="P130" s="92"/>
      <c r="Q130" s="93"/>
      <c r="R130" s="94"/>
      <c r="S130" s="124"/>
      <c r="T130" s="124"/>
    </row>
    <row r="131" spans="1:20" s="90" customFormat="1" ht="18.75" customHeight="1">
      <c r="A131" s="277" t="s">
        <v>242</v>
      </c>
      <c r="B131" s="275"/>
      <c r="C131" s="162" t="s">
        <v>21</v>
      </c>
      <c r="D131" s="163"/>
      <c r="E131" s="164"/>
      <c r="F131" s="164"/>
      <c r="G131" s="198"/>
      <c r="H131" s="198"/>
      <c r="I131" s="165"/>
      <c r="J131" s="165"/>
      <c r="K131" s="166"/>
      <c r="L131" s="126"/>
      <c r="M131" s="126"/>
      <c r="N131" s="126"/>
      <c r="O131" s="91"/>
      <c r="P131" s="92"/>
      <c r="Q131" s="93"/>
      <c r="R131" s="94"/>
      <c r="S131" s="124"/>
      <c r="T131" s="124"/>
    </row>
    <row r="132" spans="1:20" s="90" customFormat="1" ht="18.75" customHeight="1">
      <c r="A132" s="277" t="s">
        <v>243</v>
      </c>
      <c r="B132" s="276">
        <v>9537</v>
      </c>
      <c r="C132" s="167" t="s">
        <v>200</v>
      </c>
      <c r="D132" s="168" t="s">
        <v>9</v>
      </c>
      <c r="E132" s="164">
        <v>324</v>
      </c>
      <c r="F132" s="164">
        <v>1.08</v>
      </c>
      <c r="G132" s="198">
        <f>ROUND(F132*0.7*1.25,2)</f>
        <v>0.95</v>
      </c>
      <c r="H132" s="198">
        <f>ROUND(F132*0.3*1.25,2)</f>
        <v>0.41</v>
      </c>
      <c r="I132" s="154">
        <f>ROUND(E132*G132,2)</f>
        <v>307.8</v>
      </c>
      <c r="J132" s="154">
        <f>ROUND(E132*H132,2)</f>
        <v>132.84</v>
      </c>
      <c r="K132" s="148">
        <f>I132+J132</f>
        <v>440.64</v>
      </c>
      <c r="L132" s="126"/>
      <c r="M132" s="126"/>
      <c r="N132" s="126"/>
      <c r="O132" s="91"/>
      <c r="P132" s="92"/>
      <c r="Q132" s="93"/>
      <c r="R132" s="94"/>
      <c r="S132" s="124"/>
      <c r="T132" s="124"/>
    </row>
    <row r="133" spans="1:20" s="90" customFormat="1" ht="18.75" customHeight="1">
      <c r="A133" s="169"/>
      <c r="B133" s="271"/>
      <c r="C133" s="159" t="s">
        <v>10</v>
      </c>
      <c r="D133" s="160"/>
      <c r="E133" s="161"/>
      <c r="F133" s="157"/>
      <c r="G133" s="153"/>
      <c r="H133" s="158"/>
      <c r="I133" s="308">
        <f>SUM(I132)</f>
        <v>307.8</v>
      </c>
      <c r="J133" s="308">
        <f>SUM(J132)</f>
        <v>132.84</v>
      </c>
      <c r="K133" s="308">
        <f>SUM(K132)</f>
        <v>440.64</v>
      </c>
      <c r="L133" s="126"/>
      <c r="M133" s="126"/>
      <c r="N133" s="126"/>
      <c r="O133" s="91"/>
      <c r="P133" s="92"/>
      <c r="Q133" s="93"/>
      <c r="R133" s="94"/>
      <c r="S133" s="124"/>
      <c r="T133" s="124"/>
    </row>
    <row r="134" spans="1:20" s="90" customFormat="1" ht="18.75" customHeight="1">
      <c r="A134" s="255"/>
      <c r="B134" s="256"/>
      <c r="C134" s="257" t="s">
        <v>208</v>
      </c>
      <c r="D134" s="258"/>
      <c r="E134" s="259"/>
      <c r="F134" s="260"/>
      <c r="G134" s="260"/>
      <c r="H134" s="260"/>
      <c r="I134" s="261">
        <f>I133+I130</f>
        <v>6774.74</v>
      </c>
      <c r="J134" s="261">
        <f>J133+J130</f>
        <v>2903.870000000001</v>
      </c>
      <c r="K134" s="261">
        <f>K133+K130</f>
        <v>9678.609999999997</v>
      </c>
      <c r="L134" s="126"/>
      <c r="M134" s="126"/>
      <c r="N134" s="126"/>
      <c r="O134" s="91"/>
      <c r="P134" s="92"/>
      <c r="Q134" s="93"/>
      <c r="R134" s="94"/>
      <c r="S134" s="124"/>
      <c r="T134" s="124"/>
    </row>
    <row r="135" spans="1:20" s="90" customFormat="1" ht="18.75" customHeight="1">
      <c r="A135" s="255"/>
      <c r="B135" s="256"/>
      <c r="C135" s="257" t="s">
        <v>61</v>
      </c>
      <c r="D135" s="258"/>
      <c r="E135" s="259"/>
      <c r="F135" s="260"/>
      <c r="G135" s="260"/>
      <c r="H135" s="260"/>
      <c r="I135" s="261">
        <f>I134+I116+I95+I86+I13</f>
        <v>71310.34000000001</v>
      </c>
      <c r="J135" s="261">
        <f>J134+J116+J95+J86+J13</f>
        <v>30531.37</v>
      </c>
      <c r="K135" s="261">
        <f>K134+K116+K95+K86+K13</f>
        <v>101841.70999999999</v>
      </c>
      <c r="L135" s="126"/>
      <c r="M135" s="126"/>
      <c r="N135" s="126"/>
      <c r="O135" s="91"/>
      <c r="P135" s="92"/>
      <c r="Q135" s="93"/>
      <c r="R135" s="94"/>
      <c r="S135" s="124"/>
      <c r="T135" s="124"/>
    </row>
    <row r="136" spans="1:20" ht="12.75">
      <c r="A136" s="11"/>
      <c r="B136" s="143"/>
      <c r="C136" s="22" t="s">
        <v>31</v>
      </c>
      <c r="D136" s="10"/>
      <c r="E136" s="8"/>
      <c r="F136" s="10"/>
      <c r="G136" s="71"/>
      <c r="H136" s="10"/>
      <c r="I136" s="10"/>
      <c r="J136" s="10"/>
      <c r="K136" s="128"/>
      <c r="L136" s="18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1"/>
      <c r="B137" s="143"/>
      <c r="C137" s="25" t="s">
        <v>22</v>
      </c>
      <c r="D137" s="10"/>
      <c r="E137" s="24">
        <v>1.1391</v>
      </c>
      <c r="F137" s="10"/>
      <c r="G137" s="71"/>
      <c r="H137" s="10"/>
      <c r="I137" s="10"/>
      <c r="J137" s="10"/>
      <c r="K137" s="128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3.5" thickBot="1">
      <c r="A138" s="12"/>
      <c r="B138" s="23"/>
      <c r="C138" s="26" t="s">
        <v>30</v>
      </c>
      <c r="D138" s="13"/>
      <c r="E138" s="14">
        <v>0.25</v>
      </c>
      <c r="F138" s="13"/>
      <c r="G138" s="72"/>
      <c r="H138" s="13"/>
      <c r="I138" s="13"/>
      <c r="J138" s="13"/>
      <c r="K138" s="129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1.75" customHeight="1">
      <c r="A139" s="78"/>
      <c r="B139" s="1"/>
      <c r="C139" s="325" t="s">
        <v>69</v>
      </c>
      <c r="D139" s="325"/>
      <c r="E139" s="325"/>
      <c r="F139" s="325"/>
      <c r="G139" s="325"/>
      <c r="H139" s="325"/>
      <c r="I139" s="18"/>
      <c r="J139" s="18"/>
      <c r="K139" s="2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6.5" customHeight="1" thickBot="1">
      <c r="A140" s="79"/>
      <c r="B140" s="41"/>
      <c r="C140" s="80" t="s">
        <v>166</v>
      </c>
      <c r="D140" s="81"/>
      <c r="E140" s="41"/>
      <c r="F140" s="17"/>
      <c r="G140" s="82"/>
      <c r="H140" s="17"/>
      <c r="I140" s="17"/>
      <c r="J140" s="17"/>
      <c r="K140" s="42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.75">
      <c r="C141" s="27"/>
      <c r="D141" s="5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.75">
      <c r="C142" s="27"/>
      <c r="D142" s="5"/>
      <c r="L142" s="1"/>
      <c r="M142" s="1"/>
      <c r="N142" s="1"/>
      <c r="O142" s="1"/>
      <c r="P142" s="1"/>
      <c r="Q142" s="1"/>
      <c r="R142" s="1"/>
      <c r="S142" s="1"/>
      <c r="T142" s="1"/>
    </row>
    <row r="143" spans="3:4" ht="13.5">
      <c r="C143" s="28"/>
      <c r="D143" s="5"/>
    </row>
    <row r="144" ht="12.75">
      <c r="C144" s="29"/>
    </row>
    <row r="145" ht="12.75">
      <c r="C145" s="30"/>
    </row>
    <row r="146" ht="12.75">
      <c r="C146" s="30"/>
    </row>
    <row r="147" ht="12.75">
      <c r="C147" s="31"/>
    </row>
    <row r="148" spans="1:9" s="15" customFormat="1" ht="15" customHeight="1">
      <c r="A148" s="115"/>
      <c r="B148" s="116"/>
      <c r="C148" s="117"/>
      <c r="D148" s="117"/>
      <c r="E148" s="117"/>
      <c r="F148" s="118"/>
      <c r="G148" s="118"/>
      <c r="H148" s="117"/>
      <c r="I148" s="119"/>
    </row>
    <row r="149" spans="1:9" ht="12.75">
      <c r="A149" s="1"/>
      <c r="B149" s="1"/>
      <c r="C149" s="32"/>
      <c r="D149" s="1"/>
      <c r="E149" s="1"/>
      <c r="F149" s="18"/>
      <c r="G149" s="70"/>
      <c r="H149" s="18"/>
      <c r="I149" s="18"/>
    </row>
    <row r="150" ht="12.75">
      <c r="C150" s="33"/>
    </row>
    <row r="151" ht="12.75">
      <c r="C151" s="21"/>
    </row>
    <row r="152" ht="12.75">
      <c r="C152" s="30"/>
    </row>
    <row r="153" ht="12.75">
      <c r="C153" s="34"/>
    </row>
  </sheetData>
  <sheetProtection/>
  <mergeCells count="4">
    <mergeCell ref="A3:K3"/>
    <mergeCell ref="A1:K1"/>
    <mergeCell ref="A2:K2"/>
    <mergeCell ref="C139:H139"/>
  </mergeCells>
  <printOptions/>
  <pageMargins left="0" right="0" top="0.3937007874015748" bottom="0.1968503937007874" header="0" footer="0"/>
  <pageSetup fitToHeight="2" fitToWidth="1" horizontalDpi="600" verticalDpi="600" orientation="portrait" paperSize="9" scale="59" r:id="rId2"/>
  <rowBreaks count="2" manualBreakCount="2">
    <brk id="47" max="10" man="1"/>
    <brk id="7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80" zoomScaleNormal="75" zoomScaleSheetLayoutView="80" zoomScalePageLayoutView="0" workbookViewId="0" topLeftCell="A1">
      <selection activeCell="H14" sqref="H14"/>
    </sheetView>
  </sheetViews>
  <sheetFormatPr defaultColWidth="11.421875" defaultRowHeight="12.75"/>
  <cols>
    <col min="1" max="1" width="12.00390625" style="0" customWidth="1"/>
    <col min="2" max="2" width="4.421875" style="0" customWidth="1"/>
    <col min="3" max="3" width="33.57421875" style="0" bestFit="1" customWidth="1"/>
    <col min="4" max="4" width="6.7109375" style="0" customWidth="1"/>
    <col min="5" max="5" width="11.28125" style="0" customWidth="1"/>
    <col min="6" max="6" width="13.140625" style="0" bestFit="1" customWidth="1"/>
    <col min="7" max="10" width="11.28125" style="0" bestFit="1" customWidth="1"/>
    <col min="11" max="12" width="12.28125" style="0" bestFit="1" customWidth="1"/>
    <col min="13" max="13" width="18.57421875" style="20" customWidth="1"/>
  </cols>
  <sheetData>
    <row r="1" spans="1:12" ht="112.5" customHeight="1" thickBo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28.5" customHeight="1" thickBot="1">
      <c r="A2" s="329" t="s">
        <v>165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1:12" ht="22.5" customHeight="1" thickBot="1">
      <c r="A3" s="147" t="s">
        <v>56</v>
      </c>
      <c r="B3" s="39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5.75" customHeight="1">
      <c r="A4" s="40" t="s">
        <v>297</v>
      </c>
      <c r="B4" s="127"/>
      <c r="C4" s="127"/>
      <c r="D4" s="127"/>
      <c r="E4" s="1"/>
      <c r="F4" s="1" t="s">
        <v>298</v>
      </c>
      <c r="G4" s="1"/>
      <c r="H4" s="1"/>
      <c r="I4" s="1"/>
      <c r="J4" s="1"/>
      <c r="K4" s="1"/>
      <c r="L4" s="2"/>
    </row>
    <row r="5" spans="1:12" ht="15.75" customHeight="1">
      <c r="A5" s="332" t="s">
        <v>299</v>
      </c>
      <c r="B5" s="332"/>
      <c r="C5" s="332"/>
      <c r="D5" s="332"/>
      <c r="E5" s="332"/>
      <c r="F5" s="332"/>
      <c r="G5" s="332"/>
      <c r="H5" s="1"/>
      <c r="I5" s="1"/>
      <c r="J5" s="1"/>
      <c r="K5" s="1"/>
      <c r="L5" s="2"/>
    </row>
    <row r="6" spans="1:12" ht="18.75" customHeight="1" thickBot="1">
      <c r="A6" s="134" t="s">
        <v>255</v>
      </c>
      <c r="B6" s="135"/>
      <c r="C6" s="135"/>
      <c r="D6" s="135"/>
      <c r="E6" s="41"/>
      <c r="F6" s="41"/>
      <c r="G6" s="41"/>
      <c r="H6" s="41"/>
      <c r="I6" s="41"/>
      <c r="J6" s="41"/>
      <c r="K6" s="41"/>
      <c r="L6" s="42"/>
    </row>
    <row r="7" spans="1:12" ht="17.25" customHeight="1">
      <c r="A7" s="326" t="s">
        <v>57</v>
      </c>
      <c r="B7" s="327"/>
      <c r="C7" s="136" t="s">
        <v>3</v>
      </c>
      <c r="D7" s="136" t="s">
        <v>58</v>
      </c>
      <c r="E7" s="136" t="s">
        <v>59</v>
      </c>
      <c r="F7" s="136" t="s">
        <v>60</v>
      </c>
      <c r="G7" s="136" t="s">
        <v>77</v>
      </c>
      <c r="H7" s="136" t="s">
        <v>99</v>
      </c>
      <c r="I7" s="136" t="s">
        <v>143</v>
      </c>
      <c r="J7" s="136" t="s">
        <v>144</v>
      </c>
      <c r="K7" s="136" t="s">
        <v>145</v>
      </c>
      <c r="L7" s="137" t="s">
        <v>61</v>
      </c>
    </row>
    <row r="8" spans="1:12" ht="16.5" customHeight="1">
      <c r="A8" s="43"/>
      <c r="B8" s="130" t="s">
        <v>114</v>
      </c>
      <c r="C8" s="45" t="str">
        <f>orçamento!C7</f>
        <v>INSTALAÇÃO DA OBRA</v>
      </c>
      <c r="D8" s="44"/>
      <c r="E8" s="44"/>
      <c r="F8" s="44"/>
      <c r="G8" s="44"/>
      <c r="H8" s="44"/>
      <c r="I8" s="44"/>
      <c r="J8" s="44"/>
      <c r="K8" s="44"/>
      <c r="L8" s="46"/>
    </row>
    <row r="9" spans="1:13" s="54" customFormat="1" ht="19.5" customHeight="1">
      <c r="A9" s="47" t="s">
        <v>62</v>
      </c>
      <c r="B9" s="48">
        <v>1</v>
      </c>
      <c r="C9" s="49" t="s">
        <v>91</v>
      </c>
      <c r="D9" s="50"/>
      <c r="E9" s="51">
        <v>1</v>
      </c>
      <c r="F9" s="52"/>
      <c r="G9" s="52"/>
      <c r="H9" s="52"/>
      <c r="I9" s="52"/>
      <c r="J9" s="52"/>
      <c r="K9" s="52"/>
      <c r="L9" s="133">
        <f>E9+F9+G9+H9+I9+J9+K9</f>
        <v>1</v>
      </c>
      <c r="M9" s="53"/>
    </row>
    <row r="10" spans="1:15" s="54" customFormat="1" ht="19.5" customHeight="1">
      <c r="A10" s="55" t="s">
        <v>63</v>
      </c>
      <c r="B10" s="56"/>
      <c r="C10" s="49"/>
      <c r="D10" s="50" t="s">
        <v>64</v>
      </c>
      <c r="E10" s="57">
        <f>orçamento!K12</f>
        <v>4699.86</v>
      </c>
      <c r="F10" s="57"/>
      <c r="G10" s="57"/>
      <c r="H10" s="57"/>
      <c r="I10" s="57"/>
      <c r="J10" s="57"/>
      <c r="K10" s="57"/>
      <c r="L10" s="132">
        <f>E10+F10+G10+H10+I10+J10+K10</f>
        <v>4699.86</v>
      </c>
      <c r="M10" s="53"/>
      <c r="O10" s="58"/>
    </row>
    <row r="11" spans="1:15" s="54" customFormat="1" ht="19.5" customHeight="1">
      <c r="A11" s="102"/>
      <c r="B11" s="103"/>
      <c r="C11" s="108" t="s">
        <v>108</v>
      </c>
      <c r="D11" s="104"/>
      <c r="E11" s="105">
        <f>E10</f>
        <v>4699.86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84">
        <f>E11+F11+G11+H11+I11+J11+K11</f>
        <v>4699.86</v>
      </c>
      <c r="M11" s="53"/>
      <c r="O11" s="58"/>
    </row>
    <row r="12" spans="1:12" ht="12.75">
      <c r="A12" s="43"/>
      <c r="B12" s="130" t="s">
        <v>123</v>
      </c>
      <c r="C12" s="45" t="s">
        <v>244</v>
      </c>
      <c r="D12" s="44"/>
      <c r="E12" s="44"/>
      <c r="F12" s="44"/>
      <c r="G12" s="44"/>
      <c r="H12" s="44"/>
      <c r="I12" s="44"/>
      <c r="J12" s="44"/>
      <c r="K12" s="44"/>
      <c r="L12" s="46"/>
    </row>
    <row r="13" spans="1:13" s="54" customFormat="1" ht="19.5" customHeight="1">
      <c r="A13" s="47" t="s">
        <v>62</v>
      </c>
      <c r="B13" s="48">
        <v>2</v>
      </c>
      <c r="C13" s="49" t="s">
        <v>90</v>
      </c>
      <c r="D13" s="50"/>
      <c r="E13" s="51">
        <v>1</v>
      </c>
      <c r="F13" s="52"/>
      <c r="G13" s="52"/>
      <c r="H13" s="52"/>
      <c r="I13" s="52"/>
      <c r="J13" s="52"/>
      <c r="K13" s="52"/>
      <c r="L13" s="133">
        <f aca="true" t="shared" si="0" ref="L13:L36">E13+F13+G13+H13+I13+J13+K13</f>
        <v>1</v>
      </c>
      <c r="M13" s="53"/>
    </row>
    <row r="14" spans="1:15" s="54" customFormat="1" ht="19.5" customHeight="1">
      <c r="A14" s="55" t="s">
        <v>63</v>
      </c>
      <c r="B14" s="56"/>
      <c r="C14" s="49"/>
      <c r="D14" s="50" t="s">
        <v>64</v>
      </c>
      <c r="E14" s="57">
        <f>orçamento!K20</f>
        <v>931.67</v>
      </c>
      <c r="F14" s="57"/>
      <c r="G14" s="57"/>
      <c r="H14" s="57"/>
      <c r="I14" s="57"/>
      <c r="J14" s="57"/>
      <c r="K14" s="57"/>
      <c r="L14" s="132">
        <f t="shared" si="0"/>
        <v>931.67</v>
      </c>
      <c r="M14" s="53"/>
      <c r="O14" s="58"/>
    </row>
    <row r="15" spans="1:15" s="54" customFormat="1" ht="19.5" customHeight="1">
      <c r="A15" s="47" t="s">
        <v>62</v>
      </c>
      <c r="B15" s="56">
        <v>3</v>
      </c>
      <c r="C15" s="49" t="s">
        <v>65</v>
      </c>
      <c r="D15" s="50"/>
      <c r="E15" s="51">
        <v>1</v>
      </c>
      <c r="F15" s="59"/>
      <c r="G15" s="59"/>
      <c r="H15" s="59"/>
      <c r="I15" s="59"/>
      <c r="J15" s="59"/>
      <c r="K15" s="59"/>
      <c r="L15" s="133">
        <f t="shared" si="0"/>
        <v>1</v>
      </c>
      <c r="M15" s="53"/>
      <c r="O15" s="58"/>
    </row>
    <row r="16" spans="1:15" s="54" customFormat="1" ht="19.5" customHeight="1">
      <c r="A16" s="55" t="s">
        <v>63</v>
      </c>
      <c r="B16" s="56"/>
      <c r="C16" s="49"/>
      <c r="D16" s="50" t="s">
        <v>64</v>
      </c>
      <c r="E16" s="57">
        <f>orçamento!K26</f>
        <v>7382.57</v>
      </c>
      <c r="F16" s="57"/>
      <c r="G16" s="57"/>
      <c r="H16" s="57"/>
      <c r="I16" s="57"/>
      <c r="J16" s="57"/>
      <c r="K16" s="57"/>
      <c r="L16" s="132">
        <f t="shared" si="0"/>
        <v>7382.57</v>
      </c>
      <c r="M16" s="85"/>
      <c r="O16" s="58"/>
    </row>
    <row r="17" spans="1:15" s="54" customFormat="1" ht="19.5" customHeight="1">
      <c r="A17" s="47" t="s">
        <v>62</v>
      </c>
      <c r="B17" s="48">
        <v>4</v>
      </c>
      <c r="C17" s="49" t="s">
        <v>71</v>
      </c>
      <c r="D17" s="60"/>
      <c r="E17" s="51">
        <v>0.3</v>
      </c>
      <c r="F17" s="51">
        <v>0.5</v>
      </c>
      <c r="G17" s="51">
        <v>0.2</v>
      </c>
      <c r="H17" s="61"/>
      <c r="I17" s="61"/>
      <c r="J17" s="61"/>
      <c r="K17" s="61"/>
      <c r="L17" s="133">
        <f t="shared" si="0"/>
        <v>1</v>
      </c>
      <c r="M17" s="53"/>
      <c r="O17" s="58"/>
    </row>
    <row r="18" spans="1:15" s="54" customFormat="1" ht="19.5" customHeight="1">
      <c r="A18" s="55" t="s">
        <v>63</v>
      </c>
      <c r="B18" s="56"/>
      <c r="C18" s="62"/>
      <c r="D18" s="50" t="s">
        <v>64</v>
      </c>
      <c r="E18" s="57">
        <f>0.3*orçamento!K30</f>
        <v>1556.7839999999997</v>
      </c>
      <c r="F18" s="57">
        <f>0.5*orçamento!K30</f>
        <v>2594.6399999999994</v>
      </c>
      <c r="G18" s="57">
        <f>0.2*orçamento!K30</f>
        <v>1037.8559999999998</v>
      </c>
      <c r="H18" s="57"/>
      <c r="I18" s="57"/>
      <c r="J18" s="57"/>
      <c r="K18" s="57"/>
      <c r="L18" s="132">
        <f t="shared" si="0"/>
        <v>5189.279999999999</v>
      </c>
      <c r="M18" s="53"/>
      <c r="O18" s="58"/>
    </row>
    <row r="19" spans="1:15" s="54" customFormat="1" ht="19.5" customHeight="1">
      <c r="A19" s="55" t="s">
        <v>62</v>
      </c>
      <c r="B19" s="48">
        <v>5</v>
      </c>
      <c r="C19" s="49" t="str">
        <f>'[1]PS Ausiliadora 3'!$B$18</f>
        <v>Alvenarias</v>
      </c>
      <c r="D19" s="50"/>
      <c r="E19" s="61"/>
      <c r="F19" s="51">
        <v>0.7</v>
      </c>
      <c r="G19" s="51">
        <v>0.3</v>
      </c>
      <c r="H19" s="61"/>
      <c r="I19" s="61"/>
      <c r="J19" s="61"/>
      <c r="K19" s="61"/>
      <c r="L19" s="133">
        <f t="shared" si="0"/>
        <v>1</v>
      </c>
      <c r="M19" s="53"/>
      <c r="O19" s="58"/>
    </row>
    <row r="20" spans="1:15" s="54" customFormat="1" ht="19.5" customHeight="1">
      <c r="A20" s="55" t="s">
        <v>63</v>
      </c>
      <c r="B20" s="56"/>
      <c r="C20" s="62"/>
      <c r="D20" s="50" t="s">
        <v>64</v>
      </c>
      <c r="E20" s="57"/>
      <c r="F20" s="57">
        <f>0.7*orçamento!K33</f>
        <v>2162.7899999999995</v>
      </c>
      <c r="G20" s="57">
        <f>0.3*orçamento!K33</f>
        <v>926.9099999999999</v>
      </c>
      <c r="H20" s="57"/>
      <c r="I20" s="57"/>
      <c r="J20" s="57"/>
      <c r="K20" s="57"/>
      <c r="L20" s="132">
        <f t="shared" si="0"/>
        <v>3089.6999999999994</v>
      </c>
      <c r="M20" s="53"/>
      <c r="O20" s="58"/>
    </row>
    <row r="21" spans="1:15" s="54" customFormat="1" ht="19.5" customHeight="1">
      <c r="A21" s="55" t="s">
        <v>62</v>
      </c>
      <c r="B21" s="48">
        <f>B19+1</f>
        <v>6</v>
      </c>
      <c r="C21" s="49" t="s">
        <v>66</v>
      </c>
      <c r="D21" s="50"/>
      <c r="E21" s="61"/>
      <c r="F21" s="51">
        <v>0.15</v>
      </c>
      <c r="G21" s="51">
        <v>0.2</v>
      </c>
      <c r="H21" s="51">
        <v>0.65</v>
      </c>
      <c r="I21" s="61"/>
      <c r="J21" s="61"/>
      <c r="K21" s="61"/>
      <c r="L21" s="133">
        <f t="shared" si="0"/>
        <v>1</v>
      </c>
      <c r="M21" s="53"/>
      <c r="O21" s="58"/>
    </row>
    <row r="22" spans="1:15" s="54" customFormat="1" ht="19.5" customHeight="1">
      <c r="A22" s="55" t="s">
        <v>63</v>
      </c>
      <c r="B22" s="56"/>
      <c r="C22" s="62"/>
      <c r="D22" s="50" t="s">
        <v>64</v>
      </c>
      <c r="E22" s="57"/>
      <c r="F22" s="57">
        <f>0.15*orçamento!K38</f>
        <v>1237.14</v>
      </c>
      <c r="G22" s="57">
        <f>0.2*orçamento!K38</f>
        <v>1649.5200000000002</v>
      </c>
      <c r="H22" s="57">
        <f>0.65*orçamento!K38</f>
        <v>5360.9400000000005</v>
      </c>
      <c r="I22" s="57"/>
      <c r="J22" s="57"/>
      <c r="K22" s="57"/>
      <c r="L22" s="132">
        <f t="shared" si="0"/>
        <v>8247.6</v>
      </c>
      <c r="M22" s="53"/>
      <c r="N22" s="63"/>
      <c r="O22" s="58"/>
    </row>
    <row r="23" spans="1:15" s="54" customFormat="1" ht="19.5" customHeight="1">
      <c r="A23" s="55" t="s">
        <v>62</v>
      </c>
      <c r="B23" s="48">
        <f>B21+1</f>
        <v>7</v>
      </c>
      <c r="C23" s="49" t="s">
        <v>52</v>
      </c>
      <c r="D23" s="50"/>
      <c r="E23" s="61"/>
      <c r="F23" s="51">
        <v>0.45</v>
      </c>
      <c r="G23" s="61"/>
      <c r="H23" s="51">
        <v>0.55</v>
      </c>
      <c r="I23" s="61"/>
      <c r="J23" s="61"/>
      <c r="K23" s="61"/>
      <c r="L23" s="133">
        <f t="shared" si="0"/>
        <v>1</v>
      </c>
      <c r="M23" s="53"/>
      <c r="N23" s="63"/>
      <c r="O23" s="58"/>
    </row>
    <row r="24" spans="1:15" s="54" customFormat="1" ht="19.5" customHeight="1">
      <c r="A24" s="55" t="s">
        <v>63</v>
      </c>
      <c r="B24" s="56"/>
      <c r="C24" s="278"/>
      <c r="D24" s="50" t="s">
        <v>64</v>
      </c>
      <c r="E24" s="57"/>
      <c r="F24" s="57">
        <f>0.45*orçamento!K42</f>
        <v>1940.2424999999998</v>
      </c>
      <c r="G24" s="57"/>
      <c r="H24" s="57">
        <f>0.55*orçamento!K42</f>
        <v>2371.4075</v>
      </c>
      <c r="I24" s="57"/>
      <c r="J24" s="57"/>
      <c r="K24" s="57"/>
      <c r="L24" s="132">
        <f t="shared" si="0"/>
        <v>4311.65</v>
      </c>
      <c r="M24" s="53"/>
      <c r="N24" s="63"/>
      <c r="O24" s="58"/>
    </row>
    <row r="25" spans="1:15" s="54" customFormat="1" ht="19.5" customHeight="1">
      <c r="A25" s="55" t="s">
        <v>62</v>
      </c>
      <c r="B25" s="48">
        <f>B23+1</f>
        <v>8</v>
      </c>
      <c r="C25" s="49" t="str">
        <f>'[1]PS Ausiliadora 3'!$B$39</f>
        <v>Revestimentos</v>
      </c>
      <c r="D25" s="50"/>
      <c r="E25" s="61"/>
      <c r="F25" s="61"/>
      <c r="G25" s="51">
        <v>0.3</v>
      </c>
      <c r="H25" s="51">
        <v>0.5</v>
      </c>
      <c r="I25" s="51">
        <v>0.2</v>
      </c>
      <c r="J25" s="61"/>
      <c r="K25" s="61"/>
      <c r="L25" s="133">
        <f t="shared" si="0"/>
        <v>1</v>
      </c>
      <c r="M25" s="53"/>
      <c r="N25" s="63"/>
      <c r="O25" s="58"/>
    </row>
    <row r="26" spans="1:15" s="54" customFormat="1" ht="19.5" customHeight="1">
      <c r="A26" s="65" t="s">
        <v>63</v>
      </c>
      <c r="B26" s="56"/>
      <c r="C26" s="62"/>
      <c r="D26" s="50" t="s">
        <v>64</v>
      </c>
      <c r="E26" s="57"/>
      <c r="F26" s="57"/>
      <c r="G26" s="57">
        <f>0.3*orçamento!K47</f>
        <v>908.0099999999999</v>
      </c>
      <c r="H26" s="57">
        <f>0.5*orçamento!K47</f>
        <v>1513.35</v>
      </c>
      <c r="I26" s="57">
        <f>0.2*orçamento!K47</f>
        <v>605.34</v>
      </c>
      <c r="J26" s="57"/>
      <c r="K26" s="57"/>
      <c r="L26" s="132">
        <f t="shared" si="0"/>
        <v>3026.7</v>
      </c>
      <c r="M26" s="53"/>
      <c r="N26" s="63"/>
      <c r="O26" s="58"/>
    </row>
    <row r="27" spans="1:15" s="54" customFormat="1" ht="19.5" customHeight="1">
      <c r="A27" s="65" t="s">
        <v>62</v>
      </c>
      <c r="B27" s="48">
        <f>B25+1</f>
        <v>9</v>
      </c>
      <c r="C27" s="49" t="s">
        <v>67</v>
      </c>
      <c r="D27" s="50"/>
      <c r="E27" s="61"/>
      <c r="F27" s="61"/>
      <c r="G27" s="51">
        <v>0.2</v>
      </c>
      <c r="H27" s="51">
        <v>0.6</v>
      </c>
      <c r="I27" s="51">
        <v>0.2</v>
      </c>
      <c r="J27" s="61"/>
      <c r="K27" s="61"/>
      <c r="L27" s="133">
        <f t="shared" si="0"/>
        <v>1</v>
      </c>
      <c r="M27" s="53"/>
      <c r="N27" s="63"/>
      <c r="O27" s="58"/>
    </row>
    <row r="28" spans="1:15" s="54" customFormat="1" ht="19.5" customHeight="1">
      <c r="A28" s="65" t="s">
        <v>63</v>
      </c>
      <c r="B28" s="66"/>
      <c r="C28" s="62"/>
      <c r="D28" s="50" t="s">
        <v>64</v>
      </c>
      <c r="E28" s="57"/>
      <c r="F28" s="57"/>
      <c r="G28" s="57">
        <f>0.2*orçamento!K54</f>
        <v>2431.526</v>
      </c>
      <c r="H28" s="57">
        <f>0.6*orçamento!K54</f>
        <v>7294.5779999999995</v>
      </c>
      <c r="I28" s="57">
        <f>0.2*orçamento!K54</f>
        <v>2431.526</v>
      </c>
      <c r="J28" s="57"/>
      <c r="K28" s="57"/>
      <c r="L28" s="132">
        <f t="shared" si="0"/>
        <v>12157.63</v>
      </c>
      <c r="M28" s="53"/>
      <c r="O28" s="58"/>
    </row>
    <row r="29" spans="1:15" s="54" customFormat="1" ht="19.5" customHeight="1">
      <c r="A29" s="65" t="s">
        <v>62</v>
      </c>
      <c r="B29" s="48">
        <v>10</v>
      </c>
      <c r="C29" s="49" t="s">
        <v>146</v>
      </c>
      <c r="D29" s="50"/>
      <c r="E29" s="61"/>
      <c r="F29" s="51">
        <v>0.5</v>
      </c>
      <c r="G29" s="61"/>
      <c r="H29" s="61"/>
      <c r="I29" s="51">
        <v>0.5</v>
      </c>
      <c r="J29" s="61"/>
      <c r="K29" s="61"/>
      <c r="L29" s="133">
        <f t="shared" si="0"/>
        <v>1</v>
      </c>
      <c r="M29" s="53"/>
      <c r="O29" s="58"/>
    </row>
    <row r="30" spans="1:15" s="54" customFormat="1" ht="19.5" customHeight="1">
      <c r="A30" s="65" t="s">
        <v>63</v>
      </c>
      <c r="B30" s="66"/>
      <c r="C30" s="67"/>
      <c r="D30" s="50" t="s">
        <v>64</v>
      </c>
      <c r="E30" s="57"/>
      <c r="F30" s="57">
        <f>0.5*orçamento!K61</f>
        <v>709.235</v>
      </c>
      <c r="G30" s="57"/>
      <c r="H30" s="57"/>
      <c r="I30" s="57">
        <f>0.5*orçamento!K61</f>
        <v>709.235</v>
      </c>
      <c r="J30" s="57"/>
      <c r="K30" s="57"/>
      <c r="L30" s="132">
        <f t="shared" si="0"/>
        <v>1418.47</v>
      </c>
      <c r="M30" s="53"/>
      <c r="O30" s="58"/>
    </row>
    <row r="31" spans="1:15" s="54" customFormat="1" ht="19.5" customHeight="1">
      <c r="A31" s="65" t="s">
        <v>62</v>
      </c>
      <c r="B31" s="48">
        <v>12</v>
      </c>
      <c r="C31" s="49" t="s">
        <v>68</v>
      </c>
      <c r="D31" s="50"/>
      <c r="E31" s="51">
        <v>0.2</v>
      </c>
      <c r="F31" s="51">
        <v>0.2</v>
      </c>
      <c r="G31" s="51">
        <v>0.2</v>
      </c>
      <c r="H31" s="51">
        <v>0.2</v>
      </c>
      <c r="I31" s="51">
        <v>0.2</v>
      </c>
      <c r="J31" s="61"/>
      <c r="K31" s="61"/>
      <c r="L31" s="133">
        <f t="shared" si="0"/>
        <v>1</v>
      </c>
      <c r="M31" s="53"/>
      <c r="O31" s="58"/>
    </row>
    <row r="32" spans="1:15" s="54" customFormat="1" ht="19.5" customHeight="1">
      <c r="A32" s="65" t="s">
        <v>63</v>
      </c>
      <c r="B32" s="66"/>
      <c r="C32" s="67"/>
      <c r="D32" s="50" t="s">
        <v>64</v>
      </c>
      <c r="E32" s="57">
        <f>0.2*orçamento!K71</f>
        <v>394.97600000000006</v>
      </c>
      <c r="F32" s="57">
        <f>0.2*orçamento!K71</f>
        <v>394.97600000000006</v>
      </c>
      <c r="G32" s="57">
        <f>0.2*orçamento!K71</f>
        <v>394.97600000000006</v>
      </c>
      <c r="H32" s="57">
        <f>0.2*orçamento!K71</f>
        <v>394.97600000000006</v>
      </c>
      <c r="I32" s="57">
        <f>0.2*orçamento!K71</f>
        <v>394.97600000000006</v>
      </c>
      <c r="J32" s="57"/>
      <c r="K32" s="57"/>
      <c r="L32" s="132">
        <f t="shared" si="0"/>
        <v>1974.8800000000003</v>
      </c>
      <c r="M32" s="53"/>
      <c r="O32" s="58"/>
    </row>
    <row r="33" spans="1:15" s="54" customFormat="1" ht="19.5" customHeight="1">
      <c r="A33" s="65" t="s">
        <v>62</v>
      </c>
      <c r="B33" s="48">
        <v>13</v>
      </c>
      <c r="C33" s="49" t="str">
        <f>'[1]PS Ausiliadora 3'!$B$117</f>
        <v>Pintura</v>
      </c>
      <c r="D33" s="50"/>
      <c r="E33" s="61"/>
      <c r="F33" s="61"/>
      <c r="G33" s="61"/>
      <c r="H33" s="61"/>
      <c r="I33" s="51">
        <v>1</v>
      </c>
      <c r="J33" s="61"/>
      <c r="K33" s="61"/>
      <c r="L33" s="133">
        <f t="shared" si="0"/>
        <v>1</v>
      </c>
      <c r="M33" s="53"/>
      <c r="O33" s="58"/>
    </row>
    <row r="34" spans="1:15" s="54" customFormat="1" ht="19.5" customHeight="1">
      <c r="A34" s="65" t="s">
        <v>63</v>
      </c>
      <c r="B34" s="66"/>
      <c r="C34" s="49"/>
      <c r="D34" s="50" t="s">
        <v>64</v>
      </c>
      <c r="E34" s="57"/>
      <c r="F34" s="57"/>
      <c r="G34" s="57"/>
      <c r="H34" s="57"/>
      <c r="I34" s="57">
        <f>orçamento!K77</f>
        <v>1659</v>
      </c>
      <c r="J34" s="57"/>
      <c r="K34" s="57"/>
      <c r="L34" s="132">
        <f t="shared" si="0"/>
        <v>1659</v>
      </c>
      <c r="M34" s="53"/>
      <c r="O34" s="58"/>
    </row>
    <row r="35" spans="1:15" s="54" customFormat="1" ht="19.5" customHeight="1">
      <c r="A35" s="55" t="s">
        <v>62</v>
      </c>
      <c r="B35" s="48">
        <v>14</v>
      </c>
      <c r="C35" s="49" t="s">
        <v>46</v>
      </c>
      <c r="D35" s="50"/>
      <c r="E35" s="64"/>
      <c r="F35" s="61"/>
      <c r="G35" s="61"/>
      <c r="H35" s="61"/>
      <c r="I35" s="51">
        <v>1</v>
      </c>
      <c r="J35" s="61"/>
      <c r="K35" s="61"/>
      <c r="L35" s="133">
        <f t="shared" si="0"/>
        <v>1</v>
      </c>
      <c r="M35" s="53"/>
      <c r="N35" s="63"/>
      <c r="O35" s="58"/>
    </row>
    <row r="36" spans="1:15" s="54" customFormat="1" ht="19.5" customHeight="1">
      <c r="A36" s="55" t="s">
        <v>63</v>
      </c>
      <c r="B36" s="56"/>
      <c r="C36" s="62"/>
      <c r="D36" s="50" t="s">
        <v>64</v>
      </c>
      <c r="E36" s="57"/>
      <c r="F36" s="57"/>
      <c r="G36" s="57"/>
      <c r="H36" s="57"/>
      <c r="I36" s="57">
        <f>orçamento!K85</f>
        <v>894.31</v>
      </c>
      <c r="J36" s="57"/>
      <c r="K36" s="131"/>
      <c r="L36" s="132">
        <f t="shared" si="0"/>
        <v>894.31</v>
      </c>
      <c r="M36" s="53"/>
      <c r="N36" s="63"/>
      <c r="O36" s="58"/>
    </row>
    <row r="37" spans="1:15" s="54" customFormat="1" ht="19.5" customHeight="1">
      <c r="A37" s="102"/>
      <c r="B37" s="103"/>
      <c r="C37" s="108" t="s">
        <v>108</v>
      </c>
      <c r="D37" s="104"/>
      <c r="E37" s="105">
        <f>E32+E18+E16+E14</f>
        <v>10266</v>
      </c>
      <c r="F37" s="105">
        <f>F32+F30+F24+F22+F20+F18</f>
        <v>9039.0235</v>
      </c>
      <c r="G37" s="105">
        <f>G32+G28+G26+G22+G20+G18</f>
        <v>7348.798</v>
      </c>
      <c r="H37" s="105">
        <f>H32+H28+H26+H24+H22</f>
        <v>16935.2515</v>
      </c>
      <c r="I37" s="105">
        <f>I36+I34+I32+I30+I28+I26</f>
        <v>6694.387000000001</v>
      </c>
      <c r="J37" s="280">
        <v>0</v>
      </c>
      <c r="K37" s="280">
        <v>0</v>
      </c>
      <c r="L37" s="105">
        <f>I37+H37+G37+F37+E37</f>
        <v>50283.46</v>
      </c>
      <c r="M37" s="53"/>
      <c r="N37" s="63"/>
      <c r="O37" s="58"/>
    </row>
    <row r="38" spans="1:12" ht="12.75">
      <c r="A38" s="43"/>
      <c r="B38" s="130" t="s">
        <v>125</v>
      </c>
      <c r="C38" s="45" t="s">
        <v>173</v>
      </c>
      <c r="D38" s="44"/>
      <c r="E38" s="44"/>
      <c r="F38" s="44"/>
      <c r="G38" s="44"/>
      <c r="H38" s="44"/>
      <c r="I38" s="44"/>
      <c r="J38" s="44"/>
      <c r="K38" s="44"/>
      <c r="L38" s="46"/>
    </row>
    <row r="39" spans="1:13" s="54" customFormat="1" ht="19.5" customHeight="1">
      <c r="A39" s="47" t="s">
        <v>62</v>
      </c>
      <c r="B39" s="48">
        <v>15</v>
      </c>
      <c r="C39" s="49" t="s">
        <v>90</v>
      </c>
      <c r="D39" s="50"/>
      <c r="E39" s="61"/>
      <c r="F39" s="51">
        <v>1</v>
      </c>
      <c r="G39" s="61"/>
      <c r="H39" s="61"/>
      <c r="I39" s="61"/>
      <c r="J39" s="57"/>
      <c r="K39" s="57"/>
      <c r="L39" s="133">
        <f aca="true" t="shared" si="1" ref="L39:L56">E39+F39+G39+H39+I39+J39+K39</f>
        <v>1</v>
      </c>
      <c r="M39" s="53"/>
    </row>
    <row r="40" spans="1:15" s="54" customFormat="1" ht="19.5" customHeight="1">
      <c r="A40" s="55" t="s">
        <v>63</v>
      </c>
      <c r="B40" s="56"/>
      <c r="C40" s="49"/>
      <c r="D40" s="50" t="s">
        <v>64</v>
      </c>
      <c r="E40" s="57"/>
      <c r="F40" s="57">
        <f>orçamento!K90</f>
        <v>1262.56</v>
      </c>
      <c r="G40" s="57"/>
      <c r="H40" s="57"/>
      <c r="I40" s="57"/>
      <c r="J40" s="57"/>
      <c r="K40" s="57"/>
      <c r="L40" s="132">
        <f t="shared" si="1"/>
        <v>1262.56</v>
      </c>
      <c r="M40" s="53"/>
      <c r="O40" s="58"/>
    </row>
    <row r="41" spans="1:15" s="54" customFormat="1" ht="19.5" customHeight="1">
      <c r="A41" s="55" t="s">
        <v>62</v>
      </c>
      <c r="B41" s="48">
        <v>16</v>
      </c>
      <c r="C41" s="49" t="s">
        <v>155</v>
      </c>
      <c r="D41" s="50"/>
      <c r="E41" s="61"/>
      <c r="F41" s="61"/>
      <c r="G41" s="51">
        <v>1</v>
      </c>
      <c r="H41" s="61"/>
      <c r="I41" s="61"/>
      <c r="J41" s="61"/>
      <c r="K41" s="61"/>
      <c r="L41" s="133">
        <f t="shared" si="1"/>
        <v>1</v>
      </c>
      <c r="M41" s="53"/>
      <c r="O41" s="58"/>
    </row>
    <row r="42" spans="1:15" s="54" customFormat="1" ht="19.5" customHeight="1">
      <c r="A42" s="55" t="s">
        <v>63</v>
      </c>
      <c r="B42" s="56"/>
      <c r="C42" s="62"/>
      <c r="D42" s="50" t="s">
        <v>64</v>
      </c>
      <c r="E42" s="57"/>
      <c r="F42" s="57"/>
      <c r="G42" s="57">
        <f>orçamento!K94</f>
        <v>14012.85</v>
      </c>
      <c r="H42" s="57"/>
      <c r="I42" s="57"/>
      <c r="J42" s="57"/>
      <c r="K42" s="57"/>
      <c r="L42" s="132">
        <f t="shared" si="1"/>
        <v>14012.85</v>
      </c>
      <c r="M42" s="53"/>
      <c r="O42" s="58"/>
    </row>
    <row r="43" spans="1:15" s="54" customFormat="1" ht="19.5" customHeight="1">
      <c r="A43" s="102"/>
      <c r="B43" s="103"/>
      <c r="C43" s="108" t="s">
        <v>108</v>
      </c>
      <c r="D43" s="104"/>
      <c r="E43" s="280">
        <v>0</v>
      </c>
      <c r="F43" s="105">
        <f>F40</f>
        <v>1262.56</v>
      </c>
      <c r="G43" s="105">
        <f>G42</f>
        <v>14012.85</v>
      </c>
      <c r="H43" s="280">
        <v>0</v>
      </c>
      <c r="I43" s="280">
        <v>0</v>
      </c>
      <c r="J43" s="280">
        <v>0</v>
      </c>
      <c r="K43" s="280">
        <v>0</v>
      </c>
      <c r="L43" s="105">
        <f>G43+F43</f>
        <v>15275.41</v>
      </c>
      <c r="M43" s="53"/>
      <c r="N43" s="63"/>
      <c r="O43" s="58"/>
    </row>
    <row r="44" spans="1:12" ht="12.75">
      <c r="A44" s="43"/>
      <c r="B44" s="130" t="s">
        <v>175</v>
      </c>
      <c r="C44" s="45" t="s">
        <v>246</v>
      </c>
      <c r="D44" s="44"/>
      <c r="E44" s="44"/>
      <c r="F44" s="44"/>
      <c r="G44" s="44"/>
      <c r="H44" s="44"/>
      <c r="I44" s="44"/>
      <c r="J44" s="44"/>
      <c r="K44" s="44"/>
      <c r="L44" s="46"/>
    </row>
    <row r="45" spans="1:15" s="54" customFormat="1" ht="19.5" customHeight="1">
      <c r="A45" s="55" t="s">
        <v>62</v>
      </c>
      <c r="B45" s="48">
        <v>17</v>
      </c>
      <c r="C45" s="49" t="s">
        <v>90</v>
      </c>
      <c r="D45" s="50"/>
      <c r="E45" s="61"/>
      <c r="F45" s="61"/>
      <c r="G45" s="61"/>
      <c r="H45" s="61"/>
      <c r="I45" s="51">
        <v>1</v>
      </c>
      <c r="J45" s="61"/>
      <c r="K45" s="61"/>
      <c r="L45" s="133">
        <f t="shared" si="1"/>
        <v>1</v>
      </c>
      <c r="M45" s="53"/>
      <c r="N45" s="63"/>
      <c r="O45" s="58"/>
    </row>
    <row r="46" spans="1:15" s="54" customFormat="1" ht="19.5" customHeight="1">
      <c r="A46" s="55" t="s">
        <v>63</v>
      </c>
      <c r="B46" s="56"/>
      <c r="C46" s="62"/>
      <c r="D46" s="50" t="s">
        <v>64</v>
      </c>
      <c r="E46" s="57"/>
      <c r="F46" s="57"/>
      <c r="G46" s="57"/>
      <c r="H46" s="57"/>
      <c r="I46" s="57">
        <f>orçamento!K99</f>
        <v>315.64</v>
      </c>
      <c r="J46" s="57"/>
      <c r="K46" s="57"/>
      <c r="L46" s="132">
        <f t="shared" si="1"/>
        <v>315.64</v>
      </c>
      <c r="M46" s="53"/>
      <c r="N46" s="63"/>
      <c r="O46" s="58"/>
    </row>
    <row r="47" spans="1:15" s="54" customFormat="1" ht="19.5" customHeight="1">
      <c r="A47" s="55" t="s">
        <v>62</v>
      </c>
      <c r="B47" s="48">
        <v>18</v>
      </c>
      <c r="C47" s="49" t="s">
        <v>155</v>
      </c>
      <c r="D47" s="50"/>
      <c r="E47" s="61"/>
      <c r="F47" s="61"/>
      <c r="G47" s="61"/>
      <c r="H47" s="61"/>
      <c r="I47" s="61"/>
      <c r="J47" s="51">
        <v>1</v>
      </c>
      <c r="K47" s="61"/>
      <c r="L47" s="133">
        <f t="shared" si="1"/>
        <v>1</v>
      </c>
      <c r="M47" s="53"/>
      <c r="N47" s="63"/>
      <c r="O47" s="58"/>
    </row>
    <row r="48" spans="1:15" s="54" customFormat="1" ht="19.5" customHeight="1">
      <c r="A48" s="65" t="s">
        <v>63</v>
      </c>
      <c r="B48" s="56"/>
      <c r="C48" s="62"/>
      <c r="D48" s="50" t="s">
        <v>64</v>
      </c>
      <c r="E48" s="57"/>
      <c r="F48" s="57"/>
      <c r="G48" s="57"/>
      <c r="H48" s="57"/>
      <c r="I48" s="57"/>
      <c r="J48" s="57">
        <f>orçamento!K103</f>
        <v>3503.22</v>
      </c>
      <c r="K48" s="57"/>
      <c r="L48" s="132">
        <f t="shared" si="1"/>
        <v>3503.22</v>
      </c>
      <c r="M48" s="53"/>
      <c r="N48" s="63"/>
      <c r="O48" s="58"/>
    </row>
    <row r="49" spans="1:15" s="54" customFormat="1" ht="19.5" customHeight="1">
      <c r="A49" s="65" t="s">
        <v>62</v>
      </c>
      <c r="B49" s="48">
        <v>19</v>
      </c>
      <c r="C49" s="49" t="s">
        <v>177</v>
      </c>
      <c r="D49" s="50"/>
      <c r="E49" s="61"/>
      <c r="F49" s="61"/>
      <c r="G49" s="61"/>
      <c r="H49" s="61"/>
      <c r="I49" s="61"/>
      <c r="J49" s="51">
        <v>1</v>
      </c>
      <c r="K49" s="61"/>
      <c r="L49" s="133">
        <f t="shared" si="1"/>
        <v>1</v>
      </c>
      <c r="M49" s="53"/>
      <c r="N49" s="63"/>
      <c r="O49" s="58"/>
    </row>
    <row r="50" spans="1:15" s="54" customFormat="1" ht="19.5" customHeight="1">
      <c r="A50" s="65" t="s">
        <v>63</v>
      </c>
      <c r="B50" s="66"/>
      <c r="C50" s="62"/>
      <c r="D50" s="50" t="s">
        <v>64</v>
      </c>
      <c r="E50" s="57"/>
      <c r="F50" s="57"/>
      <c r="G50" s="57"/>
      <c r="H50" s="57"/>
      <c r="I50" s="57"/>
      <c r="J50" s="57">
        <f>orçamento!K115</f>
        <v>18085.510000000002</v>
      </c>
      <c r="K50" s="57"/>
      <c r="L50" s="132">
        <f t="shared" si="1"/>
        <v>18085.510000000002</v>
      </c>
      <c r="M50" s="53"/>
      <c r="O50" s="58"/>
    </row>
    <row r="51" spans="1:15" s="54" customFormat="1" ht="19.5" customHeight="1">
      <c r="A51" s="102"/>
      <c r="B51" s="103"/>
      <c r="C51" s="108" t="s">
        <v>108</v>
      </c>
      <c r="D51" s="104"/>
      <c r="E51" s="280">
        <v>0</v>
      </c>
      <c r="F51" s="280">
        <v>0</v>
      </c>
      <c r="G51" s="280">
        <v>0</v>
      </c>
      <c r="H51" s="280">
        <v>0</v>
      </c>
      <c r="I51" s="105">
        <f>I46</f>
        <v>315.64</v>
      </c>
      <c r="J51" s="105">
        <f>J50+J48</f>
        <v>21588.730000000003</v>
      </c>
      <c r="K51" s="280">
        <v>0</v>
      </c>
      <c r="L51" s="105">
        <f>J51+I51</f>
        <v>21904.370000000003</v>
      </c>
      <c r="M51" s="53"/>
      <c r="N51" s="63"/>
      <c r="O51" s="58"/>
    </row>
    <row r="52" spans="1:12" ht="12.75">
      <c r="A52" s="43"/>
      <c r="B52" s="130" t="s">
        <v>201</v>
      </c>
      <c r="C52" s="45" t="s">
        <v>247</v>
      </c>
      <c r="D52" s="44"/>
      <c r="E52" s="44"/>
      <c r="F52" s="44"/>
      <c r="G52" s="44"/>
      <c r="H52" s="44"/>
      <c r="I52" s="44"/>
      <c r="J52" s="44"/>
      <c r="K52" s="44"/>
      <c r="L52" s="46"/>
    </row>
    <row r="53" spans="1:15" s="54" customFormat="1" ht="19.5" customHeight="1">
      <c r="A53" s="65" t="s">
        <v>62</v>
      </c>
      <c r="B53" s="48">
        <v>20</v>
      </c>
      <c r="C53" s="49" t="s">
        <v>204</v>
      </c>
      <c r="D53" s="50"/>
      <c r="E53" s="51">
        <v>0.1</v>
      </c>
      <c r="F53" s="61"/>
      <c r="G53" s="61"/>
      <c r="H53" s="61"/>
      <c r="I53" s="61"/>
      <c r="J53" s="51">
        <v>0.9</v>
      </c>
      <c r="K53" s="61"/>
      <c r="L53" s="133">
        <f t="shared" si="1"/>
        <v>1</v>
      </c>
      <c r="M53" s="53"/>
      <c r="O53" s="58"/>
    </row>
    <row r="54" spans="1:15" s="54" customFormat="1" ht="19.5" customHeight="1">
      <c r="A54" s="65" t="s">
        <v>63</v>
      </c>
      <c r="B54" s="66"/>
      <c r="C54" s="67"/>
      <c r="D54" s="50" t="s">
        <v>64</v>
      </c>
      <c r="E54" s="57">
        <f>0.1*orçamento!K130</f>
        <v>923.7969999999998</v>
      </c>
      <c r="F54" s="57"/>
      <c r="G54" s="57"/>
      <c r="H54" s="57"/>
      <c r="I54" s="57"/>
      <c r="J54" s="57">
        <f>0.9*orçamento!K130</f>
        <v>8314.172999999999</v>
      </c>
      <c r="K54" s="57"/>
      <c r="L54" s="132">
        <f>J54+E54</f>
        <v>9237.97</v>
      </c>
      <c r="M54" s="53"/>
      <c r="O54" s="58"/>
    </row>
    <row r="55" spans="1:15" s="54" customFormat="1" ht="19.5" customHeight="1">
      <c r="A55" s="55" t="s">
        <v>62</v>
      </c>
      <c r="B55" s="48">
        <v>21</v>
      </c>
      <c r="C55" s="49" t="s">
        <v>21</v>
      </c>
      <c r="D55" s="50"/>
      <c r="E55" s="61"/>
      <c r="F55" s="61"/>
      <c r="G55" s="61"/>
      <c r="H55" s="61"/>
      <c r="I55" s="61"/>
      <c r="J55" s="61"/>
      <c r="K55" s="51">
        <v>1</v>
      </c>
      <c r="L55" s="133">
        <f t="shared" si="1"/>
        <v>1</v>
      </c>
      <c r="M55" s="53"/>
      <c r="O55" s="58"/>
    </row>
    <row r="56" spans="1:15" s="54" customFormat="1" ht="19.5" customHeight="1">
      <c r="A56" s="55" t="s">
        <v>63</v>
      </c>
      <c r="B56" s="56"/>
      <c r="C56" s="62"/>
      <c r="D56" s="50" t="s">
        <v>64</v>
      </c>
      <c r="E56" s="57"/>
      <c r="F56" s="57"/>
      <c r="G56" s="57"/>
      <c r="H56" s="57"/>
      <c r="I56" s="57"/>
      <c r="J56" s="57"/>
      <c r="K56" s="57">
        <f>orçamento!K133</f>
        <v>440.64</v>
      </c>
      <c r="L56" s="132">
        <f t="shared" si="1"/>
        <v>440.64</v>
      </c>
      <c r="M56" s="53"/>
      <c r="N56" s="63"/>
      <c r="O56" s="58"/>
    </row>
    <row r="57" spans="1:15" s="54" customFormat="1" ht="19.5" customHeight="1" thickBot="1">
      <c r="A57" s="102"/>
      <c r="B57" s="103"/>
      <c r="C57" s="108" t="s">
        <v>108</v>
      </c>
      <c r="D57" s="104"/>
      <c r="E57" s="280">
        <f>E54</f>
        <v>923.7969999999998</v>
      </c>
      <c r="F57" s="280">
        <v>0</v>
      </c>
      <c r="G57" s="280">
        <v>0</v>
      </c>
      <c r="H57" s="280">
        <v>0</v>
      </c>
      <c r="I57" s="280">
        <v>0</v>
      </c>
      <c r="J57" s="280">
        <f>J54</f>
        <v>8314.172999999999</v>
      </c>
      <c r="K57" s="280">
        <f>K56</f>
        <v>440.64</v>
      </c>
      <c r="L57" s="280">
        <f>K57+J57+E57</f>
        <v>9678.609999999999</v>
      </c>
      <c r="M57" s="53"/>
      <c r="N57" s="63"/>
      <c r="O57" s="58"/>
    </row>
    <row r="58" spans="1:12" ht="22.5" customHeight="1" thickBot="1">
      <c r="A58" s="36"/>
      <c r="B58" s="37"/>
      <c r="C58" s="109" t="s">
        <v>100</v>
      </c>
      <c r="D58" s="279"/>
      <c r="E58" s="281">
        <f>E57+E37+E11</f>
        <v>15889.657</v>
      </c>
      <c r="F58" s="110">
        <f>F43+F37</f>
        <v>10301.583499999999</v>
      </c>
      <c r="G58" s="110">
        <f>G43+G37</f>
        <v>21361.648</v>
      </c>
      <c r="H58" s="110">
        <f>H37</f>
        <v>16935.2515</v>
      </c>
      <c r="I58" s="110">
        <f>I51+I37</f>
        <v>7010.027000000001</v>
      </c>
      <c r="J58" s="110">
        <f>J57+J51</f>
        <v>29902.903000000002</v>
      </c>
      <c r="K58" s="110">
        <f>K57</f>
        <v>440.64</v>
      </c>
      <c r="L58" s="282">
        <f>L57+L51+L43+L37+L11</f>
        <v>101841.71</v>
      </c>
    </row>
    <row r="59" ht="12.75">
      <c r="F59" s="101"/>
    </row>
    <row r="61" ht="12.75">
      <c r="K61" s="101"/>
    </row>
    <row r="63" spans="10:11" ht="12.75">
      <c r="J63" s="101"/>
      <c r="K63" s="101"/>
    </row>
  </sheetData>
  <sheetProtection/>
  <mergeCells count="4">
    <mergeCell ref="A7:B7"/>
    <mergeCell ref="A1:L1"/>
    <mergeCell ref="A2:L2"/>
    <mergeCell ref="A5:G5"/>
  </mergeCells>
  <printOptions horizontalCentered="1"/>
  <pageMargins left="0.3937007874015748" right="0.3937007874015748" top="0.3937007874015748" bottom="0.1968503937007874" header="0.5118110236220472" footer="0.5118110236220472"/>
  <pageSetup fitToHeight="5" horizontalDpi="600" verticalDpi="600" orientation="portrait" paperSize="9" scale="64" r:id="rId2"/>
  <headerFooter alignWithMargins="0"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140625" defaultRowHeight="12.75"/>
  <cols>
    <col min="6" max="6" width="3.421875" style="0" customWidth="1"/>
  </cols>
  <sheetData>
    <row r="1" ht="12.75">
      <c r="A1" t="s">
        <v>277</v>
      </c>
    </row>
    <row r="3" spans="1:5" ht="12.75">
      <c r="A3" t="s">
        <v>278</v>
      </c>
      <c r="D3" t="s">
        <v>282</v>
      </c>
      <c r="E3" t="s">
        <v>283</v>
      </c>
    </row>
    <row r="4" spans="1:7" ht="12.75">
      <c r="A4" t="s">
        <v>279</v>
      </c>
      <c r="C4" t="s">
        <v>280</v>
      </c>
      <c r="D4" t="s">
        <v>281</v>
      </c>
      <c r="E4">
        <v>2.2</v>
      </c>
      <c r="F4" t="s">
        <v>280</v>
      </c>
      <c r="G4" t="s">
        <v>284</v>
      </c>
    </row>
    <row r="7" ht="12.75">
      <c r="A7" t="s">
        <v>288</v>
      </c>
    </row>
    <row r="8" spans="1:5" ht="12.75">
      <c r="A8">
        <v>26</v>
      </c>
      <c r="B8">
        <v>1.1</v>
      </c>
      <c r="C8" t="s">
        <v>280</v>
      </c>
      <c r="D8">
        <f>B8*A8</f>
        <v>28.6</v>
      </c>
      <c r="E8" t="s">
        <v>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ORCAMENTO DISCIMINATIVO</dc:title>
  <dc:subject/>
  <dc:creator>PREF. MUNICIPAL DE SANTA ROSA</dc:creator>
  <cp:keywords/>
  <dc:description/>
  <cp:lastModifiedBy>user</cp:lastModifiedBy>
  <cp:lastPrinted>2014-06-05T13:58:19Z</cp:lastPrinted>
  <dcterms:created xsi:type="dcterms:W3CDTF">2002-01-31T17:10:15Z</dcterms:created>
  <dcterms:modified xsi:type="dcterms:W3CDTF">2014-06-20T14:42:43Z</dcterms:modified>
  <cp:category/>
  <cp:version/>
  <cp:contentType/>
  <cp:contentStatus/>
</cp:coreProperties>
</file>